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'Bookings'!$A$1:$T$11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$#,##0.00"/>
    <numFmt numFmtId="166" formatCode="0.0%"/>
    <numFmt numFmtId="167" formatCode="mmm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color rgb="001F2937"/>
      <sz val="10"/>
    </font>
    <font>
      <b val="1"/>
      <color rgb="00FFFFFF"/>
      <sz val="16"/>
    </font>
    <font>
      <b val="1"/>
      <color rgb="001F2937"/>
      <sz val="10"/>
    </font>
    <font>
      <b val="1"/>
      <color rgb="0022C55E"/>
    </font>
    <font>
      <b val="1"/>
      <color rgb="00FFFFFF"/>
      <sz val="14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1E293B"/>
      </patternFill>
    </fill>
    <fill>
      <patternFill patternType="solid">
        <fgColor rgb="0000843D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1" fillId="2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center" vertical="center"/>
    </xf>
    <xf numFmtId="1" fontId="2" fillId="4" borderId="1" applyAlignment="1" pivotButton="0" quotePrefix="0" xfId="0">
      <alignment horizontal="center" vertical="center"/>
    </xf>
    <xf numFmtId="1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0" fontId="3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1" fillId="7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1" fontId="2" fillId="0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" fontId="0" fillId="3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49" fontId="0" fillId="3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0" fontId="1" fillId="2" borderId="1" pivotButton="0" quotePrefix="0" xfId="0"/>
    <xf numFmtId="167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0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top" wrapText="1"/>
    </xf>
    <xf numFmtId="0" fontId="6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" fillId="8" borderId="1" pivotButton="0" quotePrefix="0" xfId="0"/>
    <xf numFmtId="0" fontId="4" fillId="4" borderId="1" pivotButton="0" quotePrefix="0" xfId="0"/>
    <xf numFmtId="0" fontId="2" fillId="4" borderId="1" applyAlignment="1" pivotButton="0" quotePrefix="0" xfId="0">
      <alignment horizontal="left" vertical="top" wrapText="1"/>
    </xf>
    <xf numFmtId="0" fontId="4" fillId="5" borderId="1" pivotButton="0" quotePrefix="0" xfId="0"/>
    <xf numFmtId="0" fontId="2" fillId="5" borderId="1" applyAlignment="1" pivotButton="0" quotePrefix="0" xfId="0">
      <alignment horizontal="left" vertical="top" wrapText="1"/>
    </xf>
    <xf numFmtId="164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6" fontId="0" fillId="5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167" fontId="0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gross revenue —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'Dashboard'!N12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'Dashboard'!$M$13:$M$24</f>
            </numRef>
          </cat>
          <val>
            <numRef>
              <f>'Dashboard'!$N$13:$N$24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Booking status breakdown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'Dashboard'!Q12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'Dashboard'!$P$13:$P$16</f>
            </numRef>
          </cat>
          <val>
            <numRef>
              <f>'Dashboard'!$Q$13:$Q$16</f>
            </numRef>
          </val>
        </ser>
        <dLbls>
          <showPercent val="1"/>
        </dLbls>
        <firstSliceAng val="0"/>
        <holeSize val="55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Booked nights by month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'Dashboard'!T12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'Dashboard'!$S$13:$S$24</f>
            </numRef>
          </cat>
          <val>
            <numRef>
              <f>'Dashboard'!$T$13:$T$24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Nights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22</row>
      <rowOff>0</rowOff>
    </from>
    <ext cx="396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22</row>
      <rowOff>0</rowOff>
    </from>
    <ext cx="468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20" customWidth="1" min="3" max="3"/>
    <col width="13" customWidth="1" min="4" max="4"/>
    <col width="13" customWidth="1" min="5" max="5"/>
    <col width="8" customWidth="1" min="6" max="6"/>
    <col width="8" customWidth="1" min="7" max="7"/>
    <col width="14" customWidth="1" min="8" max="8"/>
    <col width="17" customWidth="1" min="9" max="9"/>
    <col width="15" customWidth="1" min="10" max="10"/>
    <col width="14" customWidth="1" min="11" max="11"/>
    <col width="14" customWidth="1" min="12" max="12"/>
    <col width="20" customWidth="1" min="13" max="13"/>
    <col width="14" customWidth="1" min="14" max="14"/>
    <col width="13" customWidth="1" min="15" max="15"/>
    <col width="15" customWidth="1" min="16" max="16"/>
    <col width="14" customWidth="1" min="17" max="17"/>
    <col width="16" customWidth="1" min="18" max="18"/>
    <col width="15" customWidth="1" min="19" max="19"/>
    <col width="42" customWidth="1" min="20" max="20"/>
  </cols>
  <sheetData>
    <row r="1" ht="34" customHeight="1">
      <c r="A1" s="1" t="inlineStr">
        <is>
          <t>Booking ID</t>
        </is>
      </c>
      <c r="B1" s="1" t="inlineStr">
        <is>
          <t>Guest Name</t>
        </is>
      </c>
      <c r="C1" s="1" t="inlineStr">
        <is>
          <t>Guest City/Country</t>
        </is>
      </c>
      <c r="D1" s="1" t="inlineStr">
        <is>
          <t>Check-in Date</t>
        </is>
      </c>
      <c r="E1" s="1" t="inlineStr">
        <is>
          <t>Check-out Date</t>
        </is>
      </c>
      <c r="F1" s="1" t="inlineStr">
        <is>
          <t>Nights</t>
        </is>
      </c>
      <c r="G1" s="1" t="inlineStr">
        <is>
          <t>Guests</t>
        </is>
      </c>
      <c r="H1" s="1" t="inlineStr">
        <is>
          <t>Booking Status</t>
        </is>
      </c>
      <c r="I1" s="1" t="inlineStr">
        <is>
          <t>Accommodation Type</t>
        </is>
      </c>
      <c r="J1" s="1" t="inlineStr">
        <is>
          <t>Nightly Rate (NZD)</t>
        </is>
      </c>
      <c r="K1" s="1" t="inlineStr">
        <is>
          <t>Cleaning Fee (NZD)</t>
        </is>
      </c>
      <c r="L1" s="1" t="inlineStr">
        <is>
          <t>Extra Charges (NZD)</t>
        </is>
      </c>
      <c r="M1" s="1" t="inlineStr">
        <is>
          <t>Gross Booking Revenue (NZD)</t>
        </is>
      </c>
      <c r="N1" s="1" t="inlineStr">
        <is>
          <t>Airbnb Fee (NZD)</t>
        </is>
      </c>
      <c r="O1" s="1" t="inlineStr">
        <is>
          <t>GST Applicable?</t>
        </is>
      </c>
      <c r="P1" s="1" t="inlineStr">
        <is>
          <t>Estimated GST (NZD)</t>
        </is>
      </c>
      <c r="Q1" s="1" t="inlineStr">
        <is>
          <t>Net Revenue (NZD)</t>
        </is>
      </c>
      <c r="R1" s="1" t="inlineStr">
        <is>
          <t>Cleaner</t>
        </is>
      </c>
      <c r="S1" s="1" t="inlineStr">
        <is>
          <t>Cleaning Status</t>
        </is>
      </c>
      <c r="T1" s="1" t="inlineStr">
        <is>
          <t>Notes</t>
        </is>
      </c>
    </row>
    <row r="2">
      <c r="A2" s="2" t="inlineStr">
        <is>
          <t>BK-2026-001</t>
        </is>
      </c>
      <c r="B2" s="3" t="inlineStr">
        <is>
          <t>Aroha Ngata</t>
        </is>
      </c>
      <c r="C2" s="3" t="inlineStr">
        <is>
          <t>Auckland</t>
        </is>
      </c>
      <c r="D2" s="35" t="n">
        <v>46026</v>
      </c>
      <c r="E2" s="35" t="n">
        <v>46031</v>
      </c>
      <c r="F2" s="5">
        <f>E2-D2</f>
        <v/>
      </c>
      <c r="G2" s="6" t="n">
        <v>4</v>
      </c>
      <c r="H2" s="3" t="inlineStr">
        <is>
          <t>Completed</t>
        </is>
      </c>
      <c r="I2" s="3" t="inlineStr">
        <is>
          <t>Whole bach</t>
        </is>
      </c>
      <c r="J2" s="36" t="n">
        <v>265</v>
      </c>
      <c r="K2" s="36" t="n">
        <v>95</v>
      </c>
      <c r="L2" s="36" t="n">
        <v>40</v>
      </c>
      <c r="M2" s="37">
        <f>F2*J2+K2+L2</f>
        <v/>
      </c>
      <c r="N2" s="37">
        <f>M2*7.5%</f>
        <v/>
      </c>
      <c r="O2" s="3" t="inlineStr">
        <is>
          <t>Yes</t>
        </is>
      </c>
      <c r="P2" s="37">
        <f>IF(O2="Yes",M2*15%/115%,0)</f>
        <v/>
      </c>
      <c r="Q2" s="37">
        <f>M2-N2-P2</f>
        <v/>
      </c>
      <c r="R2" s="3" t="inlineStr">
        <is>
          <t>Kiri Waititi</t>
        </is>
      </c>
      <c r="S2" s="3" t="inlineStr">
        <is>
          <t>Completed</t>
        </is>
      </c>
      <c r="T2" s="3" t="inlineStr">
        <is>
          <t>Summer stay; left excellent review</t>
        </is>
      </c>
    </row>
    <row r="3">
      <c r="A3" s="2" t="inlineStr">
        <is>
          <t>BK-2026-002</t>
        </is>
      </c>
      <c r="B3" s="3" t="inlineStr">
        <is>
          <t>Liam Walker</t>
        </is>
      </c>
      <c r="C3" s="3" t="inlineStr">
        <is>
          <t>Wellington</t>
        </is>
      </c>
      <c r="D3" s="35" t="n">
        <v>46066</v>
      </c>
      <c r="E3" s="35" t="n">
        <v>46069</v>
      </c>
      <c r="F3" s="9">
        <f>E3-D3</f>
        <v/>
      </c>
      <c r="G3" s="6" t="n">
        <v>2</v>
      </c>
      <c r="H3" s="3" t="inlineStr">
        <is>
          <t>Confirmed</t>
        </is>
      </c>
      <c r="I3" s="3" t="inlineStr">
        <is>
          <t>Whole bach</t>
        </is>
      </c>
      <c r="J3" s="36" t="n">
        <v>320</v>
      </c>
      <c r="K3" s="36" t="n">
        <v>110</v>
      </c>
      <c r="L3" s="36" t="n">
        <v>0</v>
      </c>
      <c r="M3" s="38">
        <f>F3*J3+K3+L3</f>
        <v/>
      </c>
      <c r="N3" s="38">
        <f>M3*7.5%</f>
        <v/>
      </c>
      <c r="O3" s="3" t="inlineStr">
        <is>
          <t>Yes</t>
        </is>
      </c>
      <c r="P3" s="38">
        <f>IF(O3="Yes",M3*15%/115%,0)</f>
        <v/>
      </c>
      <c r="Q3" s="38">
        <f>M3-N3-P3</f>
        <v/>
      </c>
      <c r="R3" s="3" t="inlineStr">
        <is>
          <t>Hana Rangi</t>
        </is>
      </c>
      <c r="S3" s="3" t="inlineStr">
        <is>
          <t>Scheduled</t>
        </is>
      </c>
      <c r="T3" s="3" t="inlineStr">
        <is>
          <t>Valentine weekend booking</t>
        </is>
      </c>
    </row>
    <row r="4">
      <c r="A4" s="2" t="inlineStr">
        <is>
          <t>BK-2026-003</t>
        </is>
      </c>
      <c r="B4" s="3" t="inlineStr">
        <is>
          <t>Charlotte Reid</t>
        </is>
      </c>
      <c r="C4" s="3" t="inlineStr">
        <is>
          <t>Christchurch</t>
        </is>
      </c>
      <c r="D4" s="35" t="n">
        <v>46101</v>
      </c>
      <c r="E4" s="35" t="n">
        <v>46108</v>
      </c>
      <c r="F4" s="5">
        <f>E4-D4</f>
        <v/>
      </c>
      <c r="G4" s="6" t="n">
        <v>5</v>
      </c>
      <c r="H4" s="3" t="inlineStr">
        <is>
          <t>Completed</t>
        </is>
      </c>
      <c r="I4" s="3" t="inlineStr">
        <is>
          <t>Whole bach</t>
        </is>
      </c>
      <c r="J4" s="36" t="n">
        <v>240</v>
      </c>
      <c r="K4" s="36" t="n">
        <v>90</v>
      </c>
      <c r="L4" s="36" t="n">
        <v>75</v>
      </c>
      <c r="M4" s="37">
        <f>F4*J4+K4+L4</f>
        <v/>
      </c>
      <c r="N4" s="37">
        <f>M4*7.5%</f>
        <v/>
      </c>
      <c r="O4" s="3" t="inlineStr">
        <is>
          <t>No</t>
        </is>
      </c>
      <c r="P4" s="37">
        <f>IF(O4="Yes",M4*15%/115%,0)</f>
        <v/>
      </c>
      <c r="Q4" s="37">
        <f>M4-N4-P4</f>
        <v/>
      </c>
      <c r="R4" s="3" t="inlineStr">
        <is>
          <t>Kiri Waititi</t>
        </is>
      </c>
      <c r="S4" s="3" t="inlineStr">
        <is>
          <t>Completed</t>
        </is>
      </c>
      <c r="T4" s="3" t="inlineStr">
        <is>
          <t>Extra kayak hire charge</t>
        </is>
      </c>
    </row>
    <row r="5">
      <c r="A5" s="2" t="inlineStr">
        <is>
          <t>BK-2026-004</t>
        </is>
      </c>
      <c r="B5" s="3" t="inlineStr">
        <is>
          <t>Manaia Hohepa</t>
        </is>
      </c>
      <c r="C5" s="3" t="inlineStr">
        <is>
          <t>Hamilton</t>
        </is>
      </c>
      <c r="D5" s="35" t="n">
        <v>46122</v>
      </c>
      <c r="E5" s="35" t="n">
        <v>46125</v>
      </c>
      <c r="F5" s="9">
        <f>E5-D5</f>
        <v/>
      </c>
      <c r="G5" s="6" t="n">
        <v>3</v>
      </c>
      <c r="H5" s="3" t="inlineStr">
        <is>
          <t>Cancelled</t>
        </is>
      </c>
      <c r="I5" s="3" t="inlineStr">
        <is>
          <t>Whole bach</t>
        </is>
      </c>
      <c r="J5" s="36" t="n">
        <v>185</v>
      </c>
      <c r="K5" s="36" t="n">
        <v>75</v>
      </c>
      <c r="L5" s="36" t="n">
        <v>0</v>
      </c>
      <c r="M5" s="38">
        <f>F5*J5+K5+L5</f>
        <v/>
      </c>
      <c r="N5" s="38">
        <f>M5*7.5%</f>
        <v/>
      </c>
      <c r="O5" s="3" t="inlineStr">
        <is>
          <t>No</t>
        </is>
      </c>
      <c r="P5" s="38">
        <f>IF(O5="Yes",M5*15%/115%,0)</f>
        <v/>
      </c>
      <c r="Q5" s="38">
        <f>M5-N5-P5</f>
        <v/>
      </c>
      <c r="R5" s="3" t="inlineStr">
        <is>
          <t>Not assigned</t>
        </is>
      </c>
      <c r="S5" s="3" t="inlineStr">
        <is>
          <t>Not booked</t>
        </is>
      </c>
      <c r="T5" s="3" t="inlineStr">
        <is>
          <t>Cancelled by guest 21 days prior</t>
        </is>
      </c>
    </row>
    <row r="6">
      <c r="A6" s="2" t="inlineStr">
        <is>
          <t>BK-2026-005</t>
        </is>
      </c>
      <c r="B6" s="3" t="inlineStr">
        <is>
          <t>Sophie Taylor</t>
        </is>
      </c>
      <c r="C6" s="3" t="inlineStr">
        <is>
          <t>Tauranga</t>
        </is>
      </c>
      <c r="D6" s="35" t="n">
        <v>46143</v>
      </c>
      <c r="E6" s="35" t="n">
        <v>46148</v>
      </c>
      <c r="F6" s="5">
        <f>E6-D6</f>
        <v/>
      </c>
      <c r="G6" s="6" t="n">
        <v>6</v>
      </c>
      <c r="H6" s="3" t="inlineStr">
        <is>
          <t>Completed</t>
        </is>
      </c>
      <c r="I6" s="3" t="inlineStr">
        <is>
          <t>Whole bach</t>
        </is>
      </c>
      <c r="J6" s="36" t="n">
        <v>295</v>
      </c>
      <c r="K6" s="36" t="n">
        <v>120</v>
      </c>
      <c r="L6" s="36" t="n">
        <v>60</v>
      </c>
      <c r="M6" s="37">
        <f>F6*J6+K6+L6</f>
        <v/>
      </c>
      <c r="N6" s="37">
        <f>M6*7.5%</f>
        <v/>
      </c>
      <c r="O6" s="3" t="inlineStr">
        <is>
          <t>Yes</t>
        </is>
      </c>
      <c r="P6" s="37">
        <f>IF(O6="Yes",M6*15%/115%,0)</f>
        <v/>
      </c>
      <c r="Q6" s="37">
        <f>M6-N6-P6</f>
        <v/>
      </c>
      <c r="R6" s="3" t="inlineStr">
        <is>
          <t>Mere Parata</t>
        </is>
      </c>
      <c r="S6" s="3" t="inlineStr">
        <is>
          <t>Completed</t>
        </is>
      </c>
      <c r="T6" s="3" t="inlineStr">
        <is>
          <t>Family with two children</t>
        </is>
      </c>
    </row>
    <row r="7">
      <c r="A7" s="2" t="inlineStr">
        <is>
          <t>BK-2026-006</t>
        </is>
      </c>
      <c r="B7" s="3" t="inlineStr">
        <is>
          <t>Hemi Thompson</t>
        </is>
      </c>
      <c r="C7" s="3" t="inlineStr">
        <is>
          <t>Dunedin</t>
        </is>
      </c>
      <c r="D7" s="35" t="n">
        <v>46191</v>
      </c>
      <c r="E7" s="35" t="n">
        <v>46194</v>
      </c>
      <c r="F7" s="9">
        <f>E7-D7</f>
        <v/>
      </c>
      <c r="G7" s="6" t="n">
        <v>2</v>
      </c>
      <c r="H7" s="3" t="inlineStr">
        <is>
          <t>Confirmed</t>
        </is>
      </c>
      <c r="I7" s="3" t="inlineStr">
        <is>
          <t>Studio unit</t>
        </is>
      </c>
      <c r="J7" s="36" t="n">
        <v>165</v>
      </c>
      <c r="K7" s="36" t="n">
        <v>75</v>
      </c>
      <c r="L7" s="36" t="n">
        <v>25</v>
      </c>
      <c r="M7" s="38">
        <f>F7*J7+K7+L7</f>
        <v/>
      </c>
      <c r="N7" s="38">
        <f>M7*7.5%</f>
        <v/>
      </c>
      <c r="O7" s="3" t="inlineStr">
        <is>
          <t>No</t>
        </is>
      </c>
      <c r="P7" s="38">
        <f>IF(O7="Yes",M7*15%/115%,0)</f>
        <v/>
      </c>
      <c r="Q7" s="38">
        <f>M7-N7-P7</f>
        <v/>
      </c>
      <c r="R7" s="3" t="inlineStr">
        <is>
          <t>Hana Rangi</t>
        </is>
      </c>
      <c r="S7" s="3" t="inlineStr">
        <is>
          <t>Scheduled</t>
        </is>
      </c>
      <c r="T7" s="3" t="inlineStr">
        <is>
          <t>Requested late check-out</t>
        </is>
      </c>
    </row>
    <row r="8">
      <c r="A8" s="2" t="inlineStr">
        <is>
          <t>BK-2026-007</t>
        </is>
      </c>
      <c r="B8" s="3" t="inlineStr">
        <is>
          <t>Olivia Morgan</t>
        </is>
      </c>
      <c r="C8" s="3" t="inlineStr">
        <is>
          <t>Rotorua</t>
        </is>
      </c>
      <c r="D8" s="35" t="n">
        <v>46212</v>
      </c>
      <c r="E8" s="35" t="n">
        <v>46217</v>
      </c>
      <c r="F8" s="5">
        <f>E8-D8</f>
        <v/>
      </c>
      <c r="G8" s="6" t="n">
        <v>4</v>
      </c>
      <c r="H8" s="3" t="inlineStr">
        <is>
          <t>Pending</t>
        </is>
      </c>
      <c r="I8" s="3" t="inlineStr">
        <is>
          <t>Whole bach</t>
        </is>
      </c>
      <c r="J8" s="36" t="n">
        <v>355</v>
      </c>
      <c r="K8" s="36" t="n">
        <v>130</v>
      </c>
      <c r="L8" s="36" t="n">
        <v>0</v>
      </c>
      <c r="M8" s="37">
        <f>F8*J8+K8+L8</f>
        <v/>
      </c>
      <c r="N8" s="37">
        <f>M8*7.5%</f>
        <v/>
      </c>
      <c r="O8" s="3" t="inlineStr">
        <is>
          <t>Yes</t>
        </is>
      </c>
      <c r="P8" s="37">
        <f>IF(O8="Yes",M8*15%/115%,0)</f>
        <v/>
      </c>
      <c r="Q8" s="37">
        <f>M8-N8-P8</f>
        <v/>
      </c>
      <c r="R8" s="3" t="inlineStr">
        <is>
          <t>Mere Parata</t>
        </is>
      </c>
      <c r="S8" s="3" t="inlineStr">
        <is>
          <t>Not booked</t>
        </is>
      </c>
      <c r="T8" s="3" t="inlineStr">
        <is>
          <t>Awaiting payment confirmation</t>
        </is>
      </c>
    </row>
    <row r="9">
      <c r="A9" s="2" t="inlineStr">
        <is>
          <t>BK-2026-008</t>
        </is>
      </c>
      <c r="B9" s="3" t="inlineStr">
        <is>
          <t>Tama Kingi</t>
        </is>
      </c>
      <c r="C9" s="3" t="inlineStr">
        <is>
          <t>Nelson</t>
        </is>
      </c>
      <c r="D9" s="35" t="n">
        <v>46255</v>
      </c>
      <c r="E9" s="35" t="n">
        <v>46262</v>
      </c>
      <c r="F9" s="9">
        <f>E9-D9</f>
        <v/>
      </c>
      <c r="G9" s="6" t="n">
        <v>7</v>
      </c>
      <c r="H9" s="3" t="inlineStr">
        <is>
          <t>Confirmed</t>
        </is>
      </c>
      <c r="I9" s="3" t="inlineStr">
        <is>
          <t>Whole bach</t>
        </is>
      </c>
      <c r="J9" s="36" t="n">
        <v>420</v>
      </c>
      <c r="K9" s="36" t="n">
        <v>140</v>
      </c>
      <c r="L9" s="36" t="n">
        <v>90</v>
      </c>
      <c r="M9" s="38">
        <f>F9*J9+K9+L9</f>
        <v/>
      </c>
      <c r="N9" s="38">
        <f>M9*7.5%</f>
        <v/>
      </c>
      <c r="O9" s="3" t="inlineStr">
        <is>
          <t>Yes</t>
        </is>
      </c>
      <c r="P9" s="38">
        <f>IF(O9="Yes",M9*15%/115%,0)</f>
        <v/>
      </c>
      <c r="Q9" s="38">
        <f>M9-N9-P9</f>
        <v/>
      </c>
      <c r="R9" s="3" t="inlineStr">
        <is>
          <t>Kiri Waititi</t>
        </is>
      </c>
      <c r="S9" s="3" t="inlineStr">
        <is>
          <t>Scheduled</t>
        </is>
      </c>
      <c r="T9" s="3" t="inlineStr">
        <is>
          <t>Peak week; hot tub servicing noted</t>
        </is>
      </c>
    </row>
    <row r="10">
      <c r="A10" s="2" t="inlineStr">
        <is>
          <t>BK-2026-009</t>
        </is>
      </c>
      <c r="B10" s="3" t="inlineStr">
        <is>
          <t>Emma Clarke</t>
        </is>
      </c>
      <c r="C10" s="3" t="inlineStr">
        <is>
          <t>Napier</t>
        </is>
      </c>
      <c r="D10" s="35" t="n">
        <v>46297</v>
      </c>
      <c r="E10" s="35" t="n">
        <v>46300</v>
      </c>
      <c r="F10" s="5">
        <f>E10-D10</f>
        <v/>
      </c>
      <c r="G10" s="6" t="n">
        <v>3</v>
      </c>
      <c r="H10" s="3" t="inlineStr">
        <is>
          <t>Pending</t>
        </is>
      </c>
      <c r="I10" s="3" t="inlineStr">
        <is>
          <t>Sleepout</t>
        </is>
      </c>
      <c r="J10" s="36" t="n">
        <v>210</v>
      </c>
      <c r="K10" s="36" t="n">
        <v>85</v>
      </c>
      <c r="L10" s="36" t="n">
        <v>15</v>
      </c>
      <c r="M10" s="37">
        <f>F10*J10+K10+L10</f>
        <v/>
      </c>
      <c r="N10" s="37">
        <f>M10*7.5%</f>
        <v/>
      </c>
      <c r="O10" s="3" t="inlineStr">
        <is>
          <t>No</t>
        </is>
      </c>
      <c r="P10" s="37">
        <f>IF(O10="Yes",M10*15%/115%,0)</f>
        <v/>
      </c>
      <c r="Q10" s="37">
        <f>M10-N10-P10</f>
        <v/>
      </c>
      <c r="R10" s="3" t="inlineStr">
        <is>
          <t>Hana Rangi</t>
        </is>
      </c>
      <c r="S10" s="3" t="inlineStr">
        <is>
          <t>Not booked</t>
        </is>
      </c>
      <c r="T10" s="3" t="inlineStr">
        <is>
          <t>Tentative for Art Deco weekend</t>
        </is>
      </c>
    </row>
    <row r="11">
      <c r="A11" s="2" t="inlineStr">
        <is>
          <t>BK-2026-010</t>
        </is>
      </c>
      <c r="B11" s="3" t="inlineStr">
        <is>
          <t>Ngaire Bennett</t>
        </is>
      </c>
      <c r="C11" s="3" t="inlineStr">
        <is>
          <t>Palmerston North</t>
        </is>
      </c>
      <c r="D11" s="35" t="n">
        <v>46382</v>
      </c>
      <c r="E11" s="35" t="n">
        <v>46387</v>
      </c>
      <c r="F11" s="9">
        <f>E11-D11</f>
        <v/>
      </c>
      <c r="G11" s="6" t="n">
        <v>5</v>
      </c>
      <c r="H11" s="3" t="inlineStr">
        <is>
          <t>Confirmed</t>
        </is>
      </c>
      <c r="I11" s="3" t="inlineStr">
        <is>
          <t>Whole bach</t>
        </is>
      </c>
      <c r="J11" s="36" t="n">
        <v>380</v>
      </c>
      <c r="K11" s="36" t="n">
        <v>135</v>
      </c>
      <c r="L11" s="36" t="n">
        <v>50</v>
      </c>
      <c r="M11" s="38">
        <f>F11*J11+K11+L11</f>
        <v/>
      </c>
      <c r="N11" s="38">
        <f>M11*7.5%</f>
        <v/>
      </c>
      <c r="O11" s="3" t="inlineStr">
        <is>
          <t>Yes</t>
        </is>
      </c>
      <c r="P11" s="38">
        <f>IF(O11="Yes",M11*15%/115%,0)</f>
        <v/>
      </c>
      <c r="Q11" s="38">
        <f>M11-N11-P11</f>
        <v/>
      </c>
      <c r="R11" s="3" t="inlineStr">
        <is>
          <t>Mere Parata</t>
        </is>
      </c>
      <c r="S11" s="3" t="inlineStr">
        <is>
          <t>Scheduled</t>
        </is>
      </c>
      <c r="T11" s="3" t="inlineStr">
        <is>
          <t>New Year period; strict no-party policy</t>
        </is>
      </c>
    </row>
  </sheetData>
  <autoFilter ref="A1:T11"/>
  <conditionalFormatting sqref="A2:T11">
    <cfRule type="expression" priority="1" dxfId="0" stopIfTrue="1">
      <formula>$H2="Cancelled"</formula>
    </cfRule>
    <cfRule type="expression" priority="2" dxfId="1" stopIfTrue="1">
      <formula>$H2="Completed"</formula>
    </cfRule>
  </conditionalFormatting>
  <dataValidations count="3">
    <dataValidation sqref="H2:H100" showErrorMessage="1" showInputMessage="1" allowBlank="1" errorTitle="Invalid booking status" error="Choose Confirmed, Pending, Cancelled or Completed." type="list">
      <formula1>"Confirmed,Pending,Cancelled,Completed"</formula1>
    </dataValidation>
    <dataValidation sqref="O2:O100" showErrorMessage="1" showInputMessage="1" allowBlank="1" errorTitle="Invalid GST value" error="Choose Yes or No." type="list">
      <formula1>"Yes,No"</formula1>
    </dataValidation>
    <dataValidation sqref="S2:S100" showErrorMessage="1" showInputMessage="1" allowBlank="1" errorTitle="Invalid cleaning status" error="Choose Not booked, Scheduled or Completed." type="list">
      <formula1>"Not booked,Scheduled,Completed"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3" customWidth="1" min="3" max="3"/>
    <col width="20" customWidth="1" min="4" max="4"/>
    <col width="24" customWidth="1" min="5" max="5"/>
    <col width="3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3" customWidth="1" min="12" max="12"/>
    <col width="10" customWidth="1" min="13" max="13"/>
    <col width="14" customWidth="1" min="14" max="14"/>
    <col width="3" customWidth="1" min="15" max="15"/>
    <col width="12" customWidth="1" min="16" max="16"/>
    <col width="10" customWidth="1" min="17" max="17"/>
    <col width="3" customWidth="1" min="18" max="18"/>
    <col width="10" customWidth="1" min="19" max="19"/>
    <col width="12" customWidth="1" min="20" max="20"/>
  </cols>
  <sheetData>
    <row r="1" ht="28" customHeight="1">
      <c r="A1" s="11" t="inlineStr">
        <is>
          <t>Bach Booking Dashboard — 2026</t>
        </is>
      </c>
    </row>
    <row r="2"/>
    <row r="3">
      <c r="A3" s="13" t="inlineStr">
        <is>
          <t>Key performance indicators</t>
        </is>
      </c>
      <c r="D3" s="13" t="inlineStr">
        <is>
          <t>Assumptions</t>
        </is>
      </c>
    </row>
    <row r="4" ht="20" customHeight="1">
      <c r="A4" s="14" t="inlineStr">
        <is>
          <t>Total bookings</t>
        </is>
      </c>
      <c r="B4" s="15">
        <f>COUNTA(Bookings!A2:A11)</f>
        <v/>
      </c>
    </row>
    <row r="5" ht="20" customHeight="1">
      <c r="A5" s="14" t="inlineStr">
        <is>
          <t>Confirmed bookings</t>
        </is>
      </c>
      <c r="B5" s="15">
        <f>COUNTIF(Bookings!H2:H11,"Confirmed")</f>
        <v/>
      </c>
      <c r="D5" s="14" t="inlineStr">
        <is>
          <t>GST rate</t>
        </is>
      </c>
      <c r="E5" s="39" t="n">
        <v>0.15</v>
      </c>
    </row>
    <row r="6" ht="20" customHeight="1">
      <c r="A6" s="14" t="inlineStr">
        <is>
          <t>Total nights booked</t>
        </is>
      </c>
      <c r="B6" s="15">
        <f>SUMIFS(Bookings!F2:F11,Bookings!H2:H11,"&lt;&gt;Cancelled")</f>
        <v/>
      </c>
      <c r="D6" s="14" t="inlineStr">
        <is>
          <t>Airbnb fee rate</t>
        </is>
      </c>
      <c r="E6" s="39" t="n">
        <v>0.075</v>
      </c>
    </row>
    <row r="7" ht="20" customHeight="1">
      <c r="A7" s="14" t="inlineStr">
        <is>
          <t>Average nightly rate</t>
        </is>
      </c>
      <c r="B7" s="40">
        <f>IFERROR(AVERAGE(Bookings!J2:J11),0)</f>
        <v/>
      </c>
      <c r="D7" s="14" t="inlineStr">
        <is>
          <t>Available nights</t>
        </is>
      </c>
      <c r="E7" s="18" t="n">
        <v>365</v>
      </c>
    </row>
    <row r="8" ht="20" customHeight="1">
      <c r="A8" s="14" t="inlineStr">
        <is>
          <t>Gross revenue</t>
        </is>
      </c>
      <c r="B8" s="41">
        <f>SUM(Bookings!M2:M11)</f>
        <v/>
      </c>
      <c r="D8" s="14" t="inlineStr">
        <is>
          <t>Property location</t>
        </is>
      </c>
      <c r="E8" s="20" t="inlineStr">
        <is>
          <t>Mount Maunganui, Bay of Plenty</t>
        </is>
      </c>
    </row>
    <row r="9" ht="20" customHeight="1">
      <c r="A9" s="14" t="inlineStr">
        <is>
          <t>Net revenue</t>
        </is>
      </c>
      <c r="B9" s="41">
        <f>SUM(Bookings!Q2:Q11)</f>
        <v/>
      </c>
    </row>
    <row r="10" ht="20" customHeight="1">
      <c r="A10" s="14" t="inlineStr">
        <is>
          <t>Occupancy percentage</t>
        </is>
      </c>
      <c r="B10" s="42">
        <f>IFERROR(IF(E7=0,0,B6/E7),0)</f>
        <v/>
      </c>
    </row>
    <row r="11" ht="20" customHeight="1">
      <c r="A11" s="14" t="inlineStr">
        <is>
          <t>Average booking value</t>
        </is>
      </c>
      <c r="B11" s="40">
        <f>IFERROR(IF(B4=0,0,B8/B4),0)</f>
        <v/>
      </c>
    </row>
    <row r="12">
      <c r="M12" s="22" t="inlineStr">
        <is>
          <t>Month</t>
        </is>
      </c>
      <c r="N12" s="22" t="inlineStr">
        <is>
          <t>Gross revenue</t>
        </is>
      </c>
      <c r="P12" s="22" t="inlineStr">
        <is>
          <t>Status</t>
        </is>
      </c>
      <c r="Q12" s="22" t="inlineStr">
        <is>
          <t>Bookings</t>
        </is>
      </c>
      <c r="S12" s="22" t="inlineStr">
        <is>
          <t>Month</t>
        </is>
      </c>
      <c r="T12" s="22" t="inlineStr">
        <is>
          <t>Booked nights</t>
        </is>
      </c>
    </row>
    <row r="13">
      <c r="M13" s="43" t="n">
        <v>46023</v>
      </c>
      <c r="N13" s="44">
        <f>SUMIFS(Bookings!$M$2:$M$11,Bookings!$D$2:$D$11,"&gt;="&amp;DATE(2026,1,1),Bookings!$D$2:$D$11,"&lt;="&amp;DATE(2026,1,31))</f>
        <v/>
      </c>
      <c r="P13" s="25" t="inlineStr">
        <is>
          <t>Confirmed</t>
        </is>
      </c>
      <c r="Q13" s="25">
        <f>COUNTIF(Bookings!$H$2:$H$11,"Confirmed")</f>
        <v/>
      </c>
      <c r="S13" s="43" t="n">
        <v>46023</v>
      </c>
      <c r="T13" s="25">
        <f>SUMIFS(Bookings!$F$2:$F$11,Bookings!$D$2:$D$11,"&gt;="&amp;DATE(2026,1,1),Bookings!$D$2:$D$11,"&lt;="&amp;DATE(2026,1,31),Bookings!$H$2:$H$11,"&lt;&gt;Cancelled")</f>
        <v/>
      </c>
    </row>
    <row r="14">
      <c r="M14" s="43" t="n">
        <v>46054</v>
      </c>
      <c r="N14" s="44">
        <f>SUMIFS(Bookings!$M$2:$M$11,Bookings!$D$2:$D$11,"&gt;="&amp;DATE(2026,2,1),Bookings!$D$2:$D$11,"&lt;="&amp;DATE(2026,2,28))</f>
        <v/>
      </c>
      <c r="P14" s="25" t="inlineStr">
        <is>
          <t>Pending</t>
        </is>
      </c>
      <c r="Q14" s="25">
        <f>COUNTIF(Bookings!$H$2:$H$11,"Pending")</f>
        <v/>
      </c>
      <c r="S14" s="43" t="n">
        <v>46054</v>
      </c>
      <c r="T14" s="25">
        <f>SUMIFS(Bookings!$F$2:$F$11,Bookings!$D$2:$D$11,"&gt;="&amp;DATE(2026,2,1),Bookings!$D$2:$D$11,"&lt;="&amp;DATE(2026,2,28),Bookings!$H$2:$H$11,"&lt;&gt;Cancelled")</f>
        <v/>
      </c>
    </row>
    <row r="15">
      <c r="M15" s="43" t="n">
        <v>46082</v>
      </c>
      <c r="N15" s="44">
        <f>SUMIFS(Bookings!$M$2:$M$11,Bookings!$D$2:$D$11,"&gt;="&amp;DATE(2026,3,1),Bookings!$D$2:$D$11,"&lt;="&amp;DATE(2026,3,31))</f>
        <v/>
      </c>
      <c r="P15" s="25" t="inlineStr">
        <is>
          <t>Cancelled</t>
        </is>
      </c>
      <c r="Q15" s="25">
        <f>COUNTIF(Bookings!$H$2:$H$11,"Cancelled")</f>
        <v/>
      </c>
      <c r="S15" s="43" t="n">
        <v>46082</v>
      </c>
      <c r="T15" s="25">
        <f>SUMIFS(Bookings!$F$2:$F$11,Bookings!$D$2:$D$11,"&gt;="&amp;DATE(2026,3,1),Bookings!$D$2:$D$11,"&lt;="&amp;DATE(2026,3,31),Bookings!$H$2:$H$11,"&lt;&gt;Cancelled")</f>
        <v/>
      </c>
    </row>
    <row r="16">
      <c r="M16" s="43" t="n">
        <v>46113</v>
      </c>
      <c r="N16" s="44">
        <f>SUMIFS(Bookings!$M$2:$M$11,Bookings!$D$2:$D$11,"&gt;="&amp;DATE(2026,4,1),Bookings!$D$2:$D$11,"&lt;="&amp;DATE(2026,4,30))</f>
        <v/>
      </c>
      <c r="P16" s="25" t="inlineStr">
        <is>
          <t>Completed</t>
        </is>
      </c>
      <c r="Q16" s="25">
        <f>COUNTIF(Bookings!$H$2:$H$11,"Completed")</f>
        <v/>
      </c>
      <c r="S16" s="43" t="n">
        <v>46113</v>
      </c>
      <c r="T16" s="25">
        <f>SUMIFS(Bookings!$F$2:$F$11,Bookings!$D$2:$D$11,"&gt;="&amp;DATE(2026,4,1),Bookings!$D$2:$D$11,"&lt;="&amp;DATE(2026,4,30),Bookings!$H$2:$H$11,"&lt;&gt;Cancelled")</f>
        <v/>
      </c>
    </row>
    <row r="17">
      <c r="M17" s="43" t="n">
        <v>46143</v>
      </c>
      <c r="N17" s="44">
        <f>SUMIFS(Bookings!$M$2:$M$11,Bookings!$D$2:$D$11,"&gt;="&amp;DATE(2026,5,1),Bookings!$D$2:$D$11,"&lt;="&amp;DATE(2026,5,31))</f>
        <v/>
      </c>
      <c r="S17" s="43" t="n">
        <v>46143</v>
      </c>
      <c r="T17" s="25">
        <f>SUMIFS(Bookings!$F$2:$F$11,Bookings!$D$2:$D$11,"&gt;="&amp;DATE(2026,5,1),Bookings!$D$2:$D$11,"&lt;="&amp;DATE(2026,5,31),Bookings!$H$2:$H$11,"&lt;&gt;Cancelled")</f>
        <v/>
      </c>
    </row>
    <row r="18">
      <c r="M18" s="43" t="n">
        <v>46174</v>
      </c>
      <c r="N18" s="44">
        <f>SUMIFS(Bookings!$M$2:$M$11,Bookings!$D$2:$D$11,"&gt;="&amp;DATE(2026,6,1),Bookings!$D$2:$D$11,"&lt;="&amp;DATE(2026,6,30))</f>
        <v/>
      </c>
      <c r="S18" s="43" t="n">
        <v>46174</v>
      </c>
      <c r="T18" s="25">
        <f>SUMIFS(Bookings!$F$2:$F$11,Bookings!$D$2:$D$11,"&gt;="&amp;DATE(2026,6,1),Bookings!$D$2:$D$11,"&lt;="&amp;DATE(2026,6,30),Bookings!$H$2:$H$11,"&lt;&gt;Cancelled")</f>
        <v/>
      </c>
    </row>
    <row r="19">
      <c r="A19" s="13" t="inlineStr">
        <is>
          <t>Booking status lookup</t>
        </is>
      </c>
      <c r="M19" s="43" t="n">
        <v>46204</v>
      </c>
      <c r="N19" s="44">
        <f>SUMIFS(Bookings!$M$2:$M$11,Bookings!$D$2:$D$11,"&gt;="&amp;DATE(2026,7,1),Bookings!$D$2:$D$11,"&lt;="&amp;DATE(2026,7,31))</f>
        <v/>
      </c>
      <c r="S19" s="43" t="n">
        <v>46204</v>
      </c>
      <c r="T19" s="25">
        <f>SUMIFS(Bookings!$F$2:$F$11,Bookings!$D$2:$D$11,"&gt;="&amp;DATE(2026,7,1),Bookings!$D$2:$D$11,"&lt;="&amp;DATE(2026,7,31),Bookings!$H$2:$H$11,"&lt;&gt;Cancelled")</f>
        <v/>
      </c>
    </row>
    <row r="20">
      <c r="A20" s="26" t="inlineStr">
        <is>
          <t>BK-2026-003</t>
        </is>
      </c>
      <c r="B20" s="14">
        <f>IFERROR(VLOOKUP(A20,Bookings!A:H,8,FALSE),"")</f>
        <v/>
      </c>
      <c r="M20" s="43" t="n">
        <v>46235</v>
      </c>
      <c r="N20" s="44">
        <f>SUMIFS(Bookings!$M$2:$M$11,Bookings!$D$2:$D$11,"&gt;="&amp;DATE(2026,8,1),Bookings!$D$2:$D$11,"&lt;="&amp;DATE(2026,8,31))</f>
        <v/>
      </c>
      <c r="S20" s="43" t="n">
        <v>46235</v>
      </c>
      <c r="T20" s="25">
        <f>SUMIFS(Bookings!$F$2:$F$11,Bookings!$D$2:$D$11,"&gt;="&amp;DATE(2026,8,1),Bookings!$D$2:$D$11,"&lt;="&amp;DATE(2026,8,31),Bookings!$H$2:$H$11,"&lt;&gt;Cancelled")</f>
        <v/>
      </c>
    </row>
    <row r="21" ht="30" customHeight="1">
      <c r="A21" s="27" t="inlineStr">
        <is>
          <t>Result shows the booking status for the Booking ID in A20.</t>
        </is>
      </c>
      <c r="M21" s="43" t="n">
        <v>46266</v>
      </c>
      <c r="N21" s="44">
        <f>SUMIFS(Bookings!$M$2:$M$11,Bookings!$D$2:$D$11,"&gt;="&amp;DATE(2026,9,1),Bookings!$D$2:$D$11,"&lt;="&amp;DATE(2026,9,30))</f>
        <v/>
      </c>
      <c r="S21" s="43" t="n">
        <v>46266</v>
      </c>
      <c r="T21" s="25">
        <f>SUMIFS(Bookings!$F$2:$F$11,Bookings!$D$2:$D$11,"&gt;="&amp;DATE(2026,9,1),Bookings!$D$2:$D$11,"&lt;="&amp;DATE(2026,9,30),Bookings!$H$2:$H$11,"&lt;&gt;Cancelled")</f>
        <v/>
      </c>
    </row>
    <row r="22">
      <c r="M22" s="43" t="n">
        <v>46296</v>
      </c>
      <c r="N22" s="44">
        <f>SUMIFS(Bookings!$M$2:$M$11,Bookings!$D$2:$D$11,"&gt;="&amp;DATE(2026,10,1),Bookings!$D$2:$D$11,"&lt;="&amp;DATE(2026,10,31))</f>
        <v/>
      </c>
      <c r="S22" s="43" t="n">
        <v>46296</v>
      </c>
      <c r="T22" s="25">
        <f>SUMIFS(Bookings!$F$2:$F$11,Bookings!$D$2:$D$11,"&gt;="&amp;DATE(2026,10,1),Bookings!$D$2:$D$11,"&lt;="&amp;DATE(2026,10,31),Bookings!$H$2:$H$11,"&lt;&gt;Cancelled")</f>
        <v/>
      </c>
    </row>
    <row r="23">
      <c r="M23" s="43" t="n">
        <v>46327</v>
      </c>
      <c r="N23" s="44">
        <f>SUMIFS(Bookings!$M$2:$M$11,Bookings!$D$2:$D$11,"&gt;="&amp;DATE(2026,11,1),Bookings!$D$2:$D$11,"&lt;="&amp;DATE(2026,11,30))</f>
        <v/>
      </c>
      <c r="S23" s="43" t="n">
        <v>46327</v>
      </c>
      <c r="T23" s="25">
        <f>SUMIFS(Bookings!$F$2:$F$11,Bookings!$D$2:$D$11,"&gt;="&amp;DATE(2026,11,1),Bookings!$D$2:$D$11,"&lt;="&amp;DATE(2026,11,30),Bookings!$H$2:$H$11,"&lt;&gt;Cancelled")</f>
        <v/>
      </c>
    </row>
    <row r="24">
      <c r="M24" s="43" t="n">
        <v>46357</v>
      </c>
      <c r="N24" s="44">
        <f>SUMIFS(Bookings!$M$2:$M$11,Bookings!$D$2:$D$11,"&gt;="&amp;DATE(2026,12,1),Bookings!$D$2:$D$11,"&lt;="&amp;DATE(2026,12,31))</f>
        <v/>
      </c>
      <c r="S24" s="43" t="n">
        <v>46357</v>
      </c>
      <c r="T24" s="25">
        <f>SUMIFS(Bookings!$F$2:$F$11,Bookings!$D$2:$D$11,"&gt;="&amp;DATE(2026,12,1),Bookings!$D$2:$D$11,"&lt;="&amp;DATE(2026,12,31),Bookings!$H$2:$H$11,"&lt;&gt;Cancelled")</f>
        <v/>
      </c>
    </row>
  </sheetData>
  <mergeCells count="1">
    <mergeCell ref="A1:K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8" customWidth="1" min="1" max="1"/>
    <col width="110" customWidth="1" min="2" max="2"/>
    <col width="4" customWidth="1" min="3" max="3"/>
    <col width="4" customWidth="1" min="4" max="4"/>
    <col width="4" customWidth="1" min="5" max="5"/>
  </cols>
  <sheetData>
    <row r="1" ht="28" customHeight="1">
      <c r="A1" s="28" t="inlineStr">
        <is>
          <t>Instructions — Airbnb Bach Booking Calendar</t>
        </is>
      </c>
    </row>
    <row r="2"/>
    <row r="3">
      <c r="A3" s="30" t="inlineStr">
        <is>
          <t>Step</t>
        </is>
      </c>
      <c r="B3" s="30" t="inlineStr">
        <is>
          <t>Guidance</t>
        </is>
      </c>
    </row>
    <row r="4" ht="34" customHeight="1">
      <c r="A4" s="31" t="inlineStr">
        <is>
          <t>1</t>
        </is>
      </c>
      <c r="B4" s="32" t="inlineStr">
        <is>
          <t>Enter or update bookings only in the pale yellow input cells on the Bookings sheet.</t>
        </is>
      </c>
    </row>
    <row r="5" ht="34" customHeight="1">
      <c r="A5" s="33" t="inlineStr">
        <is>
          <t>2</t>
        </is>
      </c>
      <c r="B5" s="34" t="inlineStr">
        <is>
          <t>Use DD/MM/YYYY for all dates, for example 14/03/2026.</t>
        </is>
      </c>
    </row>
    <row r="6" ht="34" customHeight="1">
      <c r="A6" s="31" t="inlineStr">
        <is>
          <t>3</t>
        </is>
      </c>
      <c r="B6" s="32" t="inlineStr">
        <is>
          <t>Enter all monetary values in NZD. Rates, fees and revenue columns are formatted as $#,##0.00.</t>
        </is>
      </c>
    </row>
    <row r="7" ht="34" customHeight="1">
      <c r="A7" s="33" t="inlineStr">
        <is>
          <t>4</t>
        </is>
      </c>
      <c r="B7" s="34" t="inlineStr">
        <is>
          <t>Confirm whether GST applies to each booking. Estimated GST uses the New Zealand 15% rate and extracts GST from GST-inclusive gross revenue.</t>
        </is>
      </c>
    </row>
    <row r="8" ht="34" customHeight="1">
      <c r="A8" s="31" t="inlineStr">
        <is>
          <t>5</t>
        </is>
      </c>
      <c r="B8" s="32" t="inlineStr">
        <is>
          <t>Review check-in and check-out dates for overlaps before accepting a new booking.</t>
        </is>
      </c>
    </row>
    <row r="9" ht="34" customHeight="1">
      <c r="A9" s="33" t="inlineStr">
        <is>
          <t>6</t>
        </is>
      </c>
      <c r="B9" s="34" t="inlineStr">
        <is>
          <t>Update cleaning status after each stay and assign a cleaner before guest arrival.</t>
        </is>
      </c>
    </row>
    <row r="10" ht="34" customHeight="1">
      <c r="A10" s="31" t="inlineStr">
        <is>
          <t>7</t>
        </is>
      </c>
      <c r="B10" s="32" t="inlineStr">
        <is>
          <t>Use the Dashboard to review occupancy, gross and net revenue, booking status and monthly patterns.</t>
        </is>
      </c>
    </row>
    <row r="11" ht="34" customHeight="1">
      <c r="A11" s="33" t="inlineStr">
        <is>
          <t>8</t>
        </is>
      </c>
      <c r="B11" s="34" t="inlineStr">
        <is>
          <t>Cancelled rows are highlighted red and completed rows green; Nights, Gross Revenue, Airbnb Fee, GST and Net Revenue calculate automatically.</t>
        </is>
      </c>
    </row>
    <row r="12" ht="34" customHeight="1">
      <c r="A12" s="31" t="inlineStr">
        <is>
          <t>9</t>
        </is>
      </c>
      <c r="B12" s="32" t="inlineStr">
        <is>
          <t>Keep booking, expense and guest records for the relevant IRD seven-year retention period.</t>
        </is>
      </c>
    </row>
    <row r="13" ht="34" customHeight="1">
      <c r="A13" s="33" t="inlineStr">
        <is>
          <t>10</t>
        </is>
      </c>
      <c r="B13" s="34" t="inlineStr">
        <is>
          <t>This workbook is a management tool only and does not replace professional tax, accounting or legal advice.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2026-07-29T04:43:58Z</dcterms:created>
  <dcterms:modified xmlns:dcterms="http://purl.org/dc/terms/" xmlns:xsi="http://www.w3.org/2001/XMLSchema-instance" xsi:type="dcterms:W3CDTF">2026-07-29T04:43:58Z</dcterms:modified>
</cp:coreProperties>
</file>