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nsactions" sheetId="1" state="visible" r:id="rId1"/>
    <sheet xmlns:r="http://schemas.openxmlformats.org/officeDocument/2006/relationships" name="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13">
    <font>
      <name val="Calibri"/>
      <family val="2"/>
      <color theme="1"/>
      <sz val="11"/>
      <scheme val="minor"/>
    </font>
    <font>
      <b val="1"/>
      <color rgb="001E293B"/>
      <sz val="14"/>
    </font>
    <font>
      <b val="1"/>
      <color rgb="00FFFFFF"/>
      <sz val="11"/>
    </font>
    <font>
      <b val="1"/>
      <color rgb="00FFFFFF"/>
      <sz val="15"/>
    </font>
    <font>
      <b val="1"/>
      <sz val="11"/>
    </font>
    <font>
      <b val="1"/>
      <color rgb="001E293B"/>
      <sz val="11"/>
    </font>
    <font>
      <i val="1"/>
      <color rgb="006B7280"/>
      <sz val="9"/>
    </font>
    <font>
      <b val="1"/>
      <sz val="10"/>
    </font>
    <font>
      <b val="1"/>
    </font>
    <font>
      <b val="1"/>
      <color rgb="00FFFFFF"/>
    </font>
    <font>
      <b val="1"/>
      <color rgb="00FFFFFF"/>
      <sz val="14"/>
    </font>
    <font>
      <b val="1"/>
      <color rgb="0000843D"/>
      <sz val="11"/>
    </font>
    <font>
      <color rgb="001F2937"/>
      <sz val="10"/>
    </font>
  </fonts>
  <fills count="8">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00843D"/>
      </patternFill>
    </fill>
    <fill>
      <patternFill patternType="solid">
        <fgColor rgb="00F0FDFA"/>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3">
    <xf numFmtId="0" fontId="0" fillId="0" borderId="0" pivotButton="0" quotePrefix="0" xfId="0"/>
    <xf numFmtId="0" fontId="1" fillId="0" borderId="0" applyAlignment="1" pivotButton="0" quotePrefix="0" xfId="0">
      <alignment horizontal="left" vertical="center" wrapText="1"/>
    </xf>
    <xf numFmtId="0" fontId="2" fillId="2" borderId="1" applyAlignment="1" pivotButton="0" quotePrefix="0" xfId="0">
      <alignment horizontal="center" vertical="center" wrapText="1"/>
    </xf>
    <xf numFmtId="0" fontId="0" fillId="0" borderId="1" applyAlignment="1" pivotButton="0" quotePrefix="0" xfId="0">
      <alignment horizontal="left" vertical="center" wrapText="1"/>
    </xf>
    <xf numFmtId="164" fontId="0" fillId="3" borderId="1" applyAlignment="1" pivotButton="0" quotePrefix="0" xfId="0">
      <alignment horizontal="center" vertical="center" wrapText="1"/>
    </xf>
    <xf numFmtId="0" fontId="0" fillId="0" borderId="1" applyAlignment="1" pivotButton="0" quotePrefix="0" xfId="0">
      <alignment horizontal="center" vertical="center" wrapText="1"/>
    </xf>
    <xf numFmtId="0" fontId="0" fillId="3" borderId="1" applyAlignment="1" pivotButton="0" quotePrefix="0" xfId="0">
      <alignment horizontal="left" vertical="center" wrapText="1"/>
    </xf>
    <xf numFmtId="165" fontId="0" fillId="3" borderId="1" applyAlignment="1" pivotButton="0" quotePrefix="0" xfId="0">
      <alignment horizontal="right" vertical="center"/>
    </xf>
    <xf numFmtId="165" fontId="0" fillId="0" borderId="1" applyAlignment="1" pivotButton="0" quotePrefix="0" xfId="0">
      <alignment horizontal="right" vertical="center"/>
    </xf>
    <xf numFmtId="9" fontId="0" fillId="3" borderId="1" applyAlignment="1" pivotButton="0" quotePrefix="0" xfId="0">
      <alignment horizontal="center" vertical="center" wrapText="1"/>
    </xf>
    <xf numFmtId="0" fontId="0" fillId="4" borderId="1" applyAlignment="1" pivotButton="0" quotePrefix="0" xfId="0">
      <alignment horizontal="left" vertical="center" wrapText="1"/>
    </xf>
    <xf numFmtId="0" fontId="0" fillId="4" borderId="1" applyAlignment="1" pivotButton="0" quotePrefix="0" xfId="0">
      <alignment horizontal="center" vertical="center" wrapText="1"/>
    </xf>
    <xf numFmtId="165" fontId="0" fillId="4" borderId="1" applyAlignment="1" pivotButton="0" quotePrefix="0" xfId="0">
      <alignment horizontal="right" vertical="center"/>
    </xf>
    <xf numFmtId="0" fontId="3" fillId="2" borderId="0" applyAlignment="1" pivotButton="0" quotePrefix="0" xfId="0">
      <alignment horizontal="left" vertical="center" wrapText="1"/>
    </xf>
    <xf numFmtId="0" fontId="4" fillId="0" borderId="0" pivotButton="0" quotePrefix="0" xfId="0"/>
    <xf numFmtId="0" fontId="5" fillId="3" borderId="1" applyAlignment="1" pivotButton="0" quotePrefix="0" xfId="0">
      <alignment horizontal="center" vertical="center" wrapText="1"/>
    </xf>
    <xf numFmtId="0" fontId="6" fillId="0" borderId="0" pivotButton="0" quotePrefix="0" xfId="0"/>
    <xf numFmtId="0" fontId="2" fillId="5" borderId="0" pivotButton="0" quotePrefix="0" xfId="0"/>
    <xf numFmtId="0" fontId="7" fillId="6" borderId="1" applyAlignment="1" pivotButton="0" quotePrefix="0" xfId="0">
      <alignment horizontal="left" vertical="center" wrapText="1"/>
    </xf>
    <xf numFmtId="165" fontId="7" fillId="6" borderId="1" applyAlignment="1" pivotButton="0" quotePrefix="0" xfId="0">
      <alignment horizontal="right" vertical="center"/>
    </xf>
    <xf numFmtId="0" fontId="7" fillId="0" borderId="1" applyAlignment="1" pivotButton="0" quotePrefix="0" xfId="0">
      <alignment horizontal="left" vertical="center" wrapText="1"/>
    </xf>
    <xf numFmtId="165" fontId="7" fillId="0" borderId="1" applyAlignment="1" pivotButton="0" quotePrefix="0" xfId="0">
      <alignment horizontal="right" vertical="center"/>
    </xf>
    <xf numFmtId="0" fontId="0" fillId="6" borderId="1" pivotButton="0" quotePrefix="0" xfId="0"/>
    <xf numFmtId="0" fontId="0" fillId="0" borderId="1" pivotButton="0" quotePrefix="0" xfId="0"/>
    <xf numFmtId="1" fontId="7" fillId="0" borderId="1" applyAlignment="1" pivotButton="0" quotePrefix="0" xfId="0">
      <alignment horizontal="right" vertical="center"/>
    </xf>
    <xf numFmtId="166" fontId="7" fillId="6" borderId="1" applyAlignment="1" pivotButton="0" quotePrefix="0" xfId="0">
      <alignment horizontal="right" vertical="center"/>
    </xf>
    <xf numFmtId="0" fontId="0" fillId="6" borderId="1" applyAlignment="1" pivotButton="0" quotePrefix="0" xfId="0">
      <alignment horizontal="center" vertical="center" wrapText="1"/>
    </xf>
    <xf numFmtId="165" fontId="0" fillId="6" borderId="1" applyAlignment="1" pivotButton="0" quotePrefix="0" xfId="0">
      <alignment horizontal="right" vertical="center"/>
    </xf>
    <xf numFmtId="0" fontId="2" fillId="2" borderId="1" pivotButton="0" quotePrefix="0" xfId="0"/>
    <xf numFmtId="0" fontId="9" fillId="7" borderId="1" pivotButton="0" quotePrefix="0" xfId="0"/>
    <xf numFmtId="165" fontId="9" fillId="7" borderId="1" applyAlignment="1" pivotButton="0" quotePrefix="0" xfId="0">
      <alignment horizontal="right" vertical="center"/>
    </xf>
    <xf numFmtId="0" fontId="10" fillId="2" borderId="0" applyAlignment="1" pivotButton="0" quotePrefix="0" xfId="0">
      <alignment horizontal="left" vertical="center" wrapText="1"/>
    </xf>
    <xf numFmtId="0" fontId="11" fillId="0" borderId="0" pivotButton="0" quotePrefix="0" xfId="0"/>
    <xf numFmtId="0" fontId="12" fillId="0" borderId="0" applyAlignment="1" pivotButton="0" quotePrefix="0" xfId="0">
      <alignment vertical="top" wrapText="1"/>
    </xf>
    <xf numFmtId="164" fontId="0" fillId="3" borderId="1" applyAlignment="1" pivotButton="0" quotePrefix="0" xfId="0">
      <alignment horizontal="center" vertical="center" wrapText="1"/>
    </xf>
    <xf numFmtId="165" fontId="0" fillId="3" borderId="1" applyAlignment="1" pivotButton="0" quotePrefix="0" xfId="0">
      <alignment horizontal="right" vertical="center"/>
    </xf>
    <xf numFmtId="165" fontId="0" fillId="0" borderId="1" applyAlignment="1" pivotButton="0" quotePrefix="0" xfId="0">
      <alignment horizontal="right" vertical="center"/>
    </xf>
    <xf numFmtId="165" fontId="0" fillId="4" borderId="1" applyAlignment="1" pivotButton="0" quotePrefix="0" xfId="0">
      <alignment horizontal="right" vertical="center"/>
    </xf>
    <xf numFmtId="165" fontId="7" fillId="6" borderId="1" applyAlignment="1" pivotButton="0" quotePrefix="0" xfId="0">
      <alignment horizontal="right" vertical="center"/>
    </xf>
    <xf numFmtId="165" fontId="7" fillId="0" borderId="1" applyAlignment="1" pivotButton="0" quotePrefix="0" xfId="0">
      <alignment horizontal="right" vertical="center"/>
    </xf>
    <xf numFmtId="166" fontId="7" fillId="6" borderId="1" applyAlignment="1" pivotButton="0" quotePrefix="0" xfId="0">
      <alignment horizontal="right" vertical="center"/>
    </xf>
    <xf numFmtId="165" fontId="0" fillId="6" borderId="1" applyAlignment="1" pivotButton="0" quotePrefix="0" xfId="0">
      <alignment horizontal="right" vertical="center"/>
    </xf>
    <xf numFmtId="165" fontId="9" fillId="7" borderId="1" applyAlignment="1" pivotButton="0" quotePrefix="0" xfId="0">
      <alignment horizontal="right" vertical="center"/>
    </xf>
  </cellXfs>
  <cellStyles count="1">
    <cellStyle name="Normal" xfId="0" builtinId="0" hidden="0"/>
  </cellStyles>
  <dxfs count="2">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Monthly Income vs Expenses (2026)</a:t>
            </a:r>
          </a:p>
        </rich>
      </tx>
    </title>
    <plotArea>
      <barChart>
        <barDir val="col"/>
        <grouping val="clustered"/>
        <ser>
          <idx val="0"/>
          <order val="0"/>
          <tx>
            <strRef>
              <f>'Summary'!B15</f>
            </strRef>
          </tx>
          <spPr>
            <a:solidFill xmlns:a="http://schemas.openxmlformats.org/drawingml/2006/main">
              <a:srgbClr val="16A34A"/>
            </a:solidFill>
            <a:ln xmlns:a="http://schemas.openxmlformats.org/drawingml/2006/main">
              <a:prstDash val="solid"/>
            </a:ln>
          </spPr>
          <cat>
            <numRef>
              <f>'Summary'!$A$16:$A$27</f>
            </numRef>
          </cat>
          <val>
            <numRef>
              <f>'Summary'!$B$16:$B$27</f>
            </numRef>
          </val>
        </ser>
        <ser>
          <idx val="1"/>
          <order val="1"/>
          <tx>
            <strRef>
              <f>'Summary'!C15</f>
            </strRef>
          </tx>
          <spPr>
            <a:solidFill xmlns:a="http://schemas.openxmlformats.org/drawingml/2006/main">
              <a:srgbClr val="DC2626"/>
            </a:solidFill>
            <a:ln xmlns:a="http://schemas.openxmlformats.org/drawingml/2006/main">
              <a:prstDash val="solid"/>
            </a:ln>
          </spPr>
          <cat>
            <numRef>
              <f>'Summary'!$A$16:$A$27</f>
            </numRef>
          </cat>
          <val>
            <numRef>
              <f>'Summary'!$C$16:$C$27</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NZD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Expenses by Category</a:t>
            </a:r>
          </a:p>
        </rich>
      </tx>
    </title>
    <plotArea>
      <doughnutChart>
        <varyColors val="1"/>
        <ser>
          <idx val="0"/>
          <order val="0"/>
          <tx>
            <strRef>
              <f>'Summary'!K19</f>
            </strRef>
          </tx>
          <spPr>
            <a:ln xmlns:a="http://schemas.openxmlformats.org/drawingml/2006/main">
              <a:prstDash val="solid"/>
            </a:ln>
          </spPr>
          <cat>
            <numRef>
              <f>'Summary'!$J$20:$J$29</f>
            </numRef>
          </cat>
          <val>
            <numRef>
              <f>'Summary'!$K$20:$K$29</f>
            </numRef>
          </val>
        </ser>
        <firstSliceAng val="0"/>
        <holeSize val="10"/>
      </doughnut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Monthly Net Cash Result (2026)</a:t>
            </a:r>
          </a:p>
        </rich>
      </tx>
    </title>
    <plotArea>
      <lineChart>
        <grouping val="standard"/>
        <ser>
          <idx val="0"/>
          <order val="0"/>
          <tx>
            <strRef>
              <f>'Summary'!D15</f>
            </strRef>
          </tx>
          <spPr>
            <a:ln xmlns:a="http://schemas.openxmlformats.org/drawingml/2006/main" w="25000">
              <a:solidFill>
                <a:srgbClr val="00843D"/>
              </a:solidFill>
              <a:prstDash val="solid"/>
            </a:ln>
          </spPr>
          <marker>
            <symbol val="none"/>
            <spPr>
              <a:ln xmlns:a="http://schemas.openxmlformats.org/drawingml/2006/main">
                <a:prstDash val="solid"/>
              </a:ln>
            </spPr>
          </marker>
          <cat>
            <numRef>
              <f>'Summary'!$A$16:$A$27</f>
            </numRef>
          </cat>
          <val>
            <numRef>
              <f>'Summary'!$D$16:$D$27</f>
            </numRef>
          </val>
        </ser>
        <axId val="10"/>
        <axId val="100"/>
      </lineChart>
      <catAx>
        <axId val="10"/>
        <scaling>
          <orientation val="minMax"/>
        </scaling>
        <axPos val="l"/>
        <title>
          <tx>
            <rich>
              <a:bodyPr xmlns:a="http://schemas.openxmlformats.org/drawingml/2006/main"/>
              <a:p xmlns:a="http://schemas.openxmlformats.org/drawingml/2006/main">
                <a:pPr>
                  <a:defRPr/>
                </a:pPr>
                <a:r>
                  <a:t>Month</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NZD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30</row>
      <rowOff>0</rowOff>
    </from>
    <ext cx="5760000" cy="30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30</row>
      <rowOff>0</rowOff>
    </from>
    <ext cx="4320000" cy="30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48</row>
      <rowOff>0</rowOff>
    </from>
    <ext cx="5040000" cy="306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2"/>
  <sheetViews>
    <sheetView workbookViewId="0">
      <pane ySplit="2" topLeftCell="A3" activePane="bottomLeft" state="frozen"/>
      <selection pane="bottomLeft" activeCell="A1" sqref="A1"/>
    </sheetView>
  </sheetViews>
  <sheetFormatPr baseColWidth="8" defaultRowHeight="15"/>
  <cols>
    <col width="13" customWidth="1" min="1" max="1"/>
    <col width="12" customWidth="1" min="2" max="2"/>
    <col width="8" customWidth="1" min="3" max="3"/>
    <col width="20" customWidth="1" min="4" max="4"/>
    <col width="15" customWidth="1" min="5" max="5"/>
    <col width="14" customWidth="1" min="6" max="6"/>
    <col width="18" customWidth="1" min="7" max="7"/>
    <col width="34" customWidth="1" min="8" max="8"/>
    <col width="26" customWidth="1" min="9" max="9"/>
    <col width="15" customWidth="1" min="10" max="10"/>
    <col width="17" customWidth="1" min="11" max="11"/>
    <col width="12" customWidth="1" min="12" max="12"/>
    <col width="17" customWidth="1" min="13" max="13"/>
    <col width="12" customWidth="1" min="14" max="14"/>
    <col width="20" customWidth="1" min="15" max="15"/>
    <col width="18" customWidth="1" min="16" max="16"/>
    <col width="32" customWidth="1" min="17" max="17"/>
  </cols>
  <sheetData>
    <row r="1">
      <c r="A1" s="1" t="inlineStr">
        <is>
          <t>Bach / Holiday Home Transactions — 2026</t>
        </is>
      </c>
    </row>
    <row r="2" ht="32" customHeight="1">
      <c r="A2" s="2" t="inlineStr">
        <is>
          <t>Transaction ID</t>
        </is>
      </c>
      <c r="B2" s="2" t="inlineStr">
        <is>
          <t>Date</t>
        </is>
      </c>
      <c r="C2" s="2" t="inlineStr">
        <is>
          <t>Month</t>
        </is>
      </c>
      <c r="D2" s="2" t="inlineStr">
        <is>
          <t>Property</t>
        </is>
      </c>
      <c r="E2" s="2" t="inlineStr">
        <is>
          <t>Location</t>
        </is>
      </c>
      <c r="F2" s="2" t="inlineStr">
        <is>
          <t>Transaction Type</t>
        </is>
      </c>
      <c r="G2" s="2" t="inlineStr">
        <is>
          <t>Category</t>
        </is>
      </c>
      <c r="H2" s="2" t="inlineStr">
        <is>
          <t>Description</t>
        </is>
      </c>
      <c r="I2" s="2" t="inlineStr">
        <is>
          <t>Supplier / Booking Source</t>
        </is>
      </c>
      <c r="J2" s="2" t="inlineStr">
        <is>
          <t>Payment Method</t>
        </is>
      </c>
      <c r="K2" s="2" t="inlineStr">
        <is>
          <t>Amount excl GST (NZD)</t>
        </is>
      </c>
      <c r="L2" s="2" t="inlineStr">
        <is>
          <t>GST (NZD)</t>
        </is>
      </c>
      <c r="M2" s="2" t="inlineStr">
        <is>
          <t>Amount incl GST (NZD)</t>
        </is>
      </c>
      <c r="N2" s="2" t="inlineStr">
        <is>
          <t>Rental-use %</t>
        </is>
      </c>
      <c r="O2" s="2" t="inlineStr">
        <is>
          <t>Claimable / Rental Amount (NZD)</t>
        </is>
      </c>
      <c r="P2" s="2" t="inlineStr">
        <is>
          <t>Budget Category</t>
        </is>
      </c>
      <c r="Q2" s="2" t="inlineStr">
        <is>
          <t>Notes</t>
        </is>
      </c>
    </row>
    <row r="3">
      <c r="A3" s="3" t="inlineStr">
        <is>
          <t>TXN-001</t>
        </is>
      </c>
      <c r="B3" s="34" t="n">
        <v>46027</v>
      </c>
      <c r="C3" s="5">
        <f>TEXT(B3,"mmm")</f>
        <v/>
      </c>
      <c r="D3" s="6" t="inlineStr">
        <is>
          <t>Tui Cottage</t>
        </is>
      </c>
      <c r="E3" s="6" t="inlineStr">
        <is>
          <t>Bay of Islands</t>
        </is>
      </c>
      <c r="F3" s="6" t="inlineStr">
        <is>
          <t>Income</t>
        </is>
      </c>
      <c r="G3" s="6" t="inlineStr">
        <is>
          <t>Booking Income</t>
        </is>
      </c>
      <c r="H3" s="6" t="inlineStr">
        <is>
          <t>Holiday rental booking 2–5 Jan</t>
        </is>
      </c>
      <c r="I3" s="6" t="inlineStr">
        <is>
          <t>HolidaysNZ Platform</t>
        </is>
      </c>
      <c r="J3" s="6" t="inlineStr">
        <is>
          <t>Bank Transfer</t>
        </is>
      </c>
      <c r="K3" s="35" t="n">
        <v>2400</v>
      </c>
      <c r="L3" s="36">
        <f>IF(F3="Expense",K3*15%,0)</f>
        <v/>
      </c>
      <c r="M3" s="36">
        <f>K3+L3</f>
        <v/>
      </c>
      <c r="N3" s="9" t="n">
        <v>1</v>
      </c>
      <c r="O3" s="36">
        <f>M3*N3</f>
        <v/>
      </c>
      <c r="P3" s="3">
        <f>IFERROR(VLOOKUP(G3,Summary!$J$5:$K$14,2,FALSE),"")</f>
        <v/>
      </c>
      <c r="Q3" s="6" t="inlineStr">
        <is>
          <t>Guest: Aroha — peak summer stay</t>
        </is>
      </c>
    </row>
    <row r="4">
      <c r="A4" s="10" t="inlineStr">
        <is>
          <t>TXN-002</t>
        </is>
      </c>
      <c r="B4" s="34" t="n">
        <v>46040</v>
      </c>
      <c r="C4" s="11">
        <f>TEXT(B4,"mmm")</f>
        <v/>
      </c>
      <c r="D4" s="6" t="inlineStr">
        <is>
          <t>Tui Cottage</t>
        </is>
      </c>
      <c r="E4" s="6" t="inlineStr">
        <is>
          <t>Paihia</t>
        </is>
      </c>
      <c r="F4" s="6" t="inlineStr">
        <is>
          <t>Expense</t>
        </is>
      </c>
      <c r="G4" s="6" t="inlineStr">
        <is>
          <t>Electricity</t>
        </is>
      </c>
      <c r="H4" s="6" t="inlineStr">
        <is>
          <t>Monthly electricity account</t>
        </is>
      </c>
      <c r="I4" s="6" t="inlineStr">
        <is>
          <t>Northpower Energy</t>
        </is>
      </c>
      <c r="J4" s="6" t="inlineStr">
        <is>
          <t>Direct Debit</t>
        </is>
      </c>
      <c r="K4" s="35" t="n">
        <v>185.5</v>
      </c>
      <c r="L4" s="37">
        <f>IF(F4="Expense",K4*15%,0)</f>
        <v/>
      </c>
      <c r="M4" s="37">
        <f>K4+L4</f>
        <v/>
      </c>
      <c r="N4" s="9" t="n">
        <v>0.75</v>
      </c>
      <c r="O4" s="37">
        <f>M4*N4</f>
        <v/>
      </c>
      <c r="P4" s="10">
        <f>IFERROR(VLOOKUP(G4,Summary!$J$5:$K$14,2,FALSE),"")</f>
        <v/>
      </c>
      <c r="Q4" s="6" t="inlineStr">
        <is>
          <t>Contact: Liam at Northpower</t>
        </is>
      </c>
    </row>
    <row r="5">
      <c r="A5" s="3" t="inlineStr">
        <is>
          <t>TXN-003</t>
        </is>
      </c>
      <c r="B5" s="34" t="n">
        <v>46055</v>
      </c>
      <c r="C5" s="5">
        <f>TEXT(B5,"mmm")</f>
        <v/>
      </c>
      <c r="D5" s="6" t="inlineStr">
        <is>
          <t>Lakeside Bach</t>
        </is>
      </c>
      <c r="E5" s="6" t="inlineStr">
        <is>
          <t>Rotorua</t>
        </is>
      </c>
      <c r="F5" s="6" t="inlineStr">
        <is>
          <t>Expense</t>
        </is>
      </c>
      <c r="G5" s="6" t="inlineStr">
        <is>
          <t>Cleaning</t>
        </is>
      </c>
      <c r="H5" s="6" t="inlineStr">
        <is>
          <t>Turnover clean after booking</t>
        </is>
      </c>
      <c r="I5" s="6" t="inlineStr">
        <is>
          <t>Rotorua Sparkle Services</t>
        </is>
      </c>
      <c r="J5" s="6" t="inlineStr">
        <is>
          <t>Credit Card</t>
        </is>
      </c>
      <c r="K5" s="35" t="n">
        <v>160</v>
      </c>
      <c r="L5" s="36">
        <f>IF(F5="Expense",K5*15%,0)</f>
        <v/>
      </c>
      <c r="M5" s="36">
        <f>K5+L5</f>
        <v/>
      </c>
      <c r="N5" s="9" t="n">
        <v>1</v>
      </c>
      <c r="O5" s="36">
        <f>M5*N5</f>
        <v/>
      </c>
      <c r="P5" s="3">
        <f>IFERROR(VLOOKUP(G5,Summary!$J$5:$K$14,2,FALSE),"")</f>
        <v/>
      </c>
      <c r="Q5" s="6" t="inlineStr">
        <is>
          <t>Cleaner: Sophie</t>
        </is>
      </c>
    </row>
    <row r="6">
      <c r="A6" s="10" t="inlineStr">
        <is>
          <t>TXN-004</t>
        </is>
      </c>
      <c r="B6" s="34" t="n">
        <v>46068</v>
      </c>
      <c r="C6" s="11">
        <f>TEXT(B6,"mmm")</f>
        <v/>
      </c>
      <c r="D6" s="6" t="inlineStr">
        <is>
          <t>Harbour View</t>
        </is>
      </c>
      <c r="E6" s="6" t="inlineStr">
        <is>
          <t>Tauranga</t>
        </is>
      </c>
      <c r="F6" s="6" t="inlineStr">
        <is>
          <t>Expense</t>
        </is>
      </c>
      <c r="G6" s="6" t="inlineStr">
        <is>
          <t>Rates</t>
        </is>
      </c>
      <c r="H6" s="6" t="inlineStr">
        <is>
          <t>Council rates instalment 3 of 4</t>
        </is>
      </c>
      <c r="I6" s="6" t="inlineStr">
        <is>
          <t>Tauranga City Council</t>
        </is>
      </c>
      <c r="J6" s="6" t="inlineStr">
        <is>
          <t>Direct Debit</t>
        </is>
      </c>
      <c r="K6" s="35" t="n">
        <v>685</v>
      </c>
      <c r="L6" s="37">
        <f>IF(F6="Expense",K6*15%,0)</f>
        <v/>
      </c>
      <c r="M6" s="37">
        <f>K6+L6</f>
        <v/>
      </c>
      <c r="N6" s="9" t="n">
        <v>0.75</v>
      </c>
      <c r="O6" s="37">
        <f>M6*N6</f>
        <v/>
      </c>
      <c r="P6" s="10">
        <f>IFERROR(VLOOKUP(G6,Summary!$J$5:$K$14,2,FALSE),"")</f>
        <v/>
      </c>
      <c r="Q6" s="6" t="inlineStr">
        <is>
          <t>Rates notice ref: RCC-2026-4412</t>
        </is>
      </c>
    </row>
    <row r="7">
      <c r="A7" s="3" t="inlineStr">
        <is>
          <t>TXN-005</t>
        </is>
      </c>
      <c r="B7" s="34" t="n">
        <v>46090</v>
      </c>
      <c r="C7" s="5">
        <f>TEXT(B7,"mmm")</f>
        <v/>
      </c>
      <c r="D7" s="6" t="inlineStr">
        <is>
          <t>Surf Shack</t>
        </is>
      </c>
      <c r="E7" s="6" t="inlineStr">
        <is>
          <t>Raglan</t>
        </is>
      </c>
      <c r="F7" s="6" t="inlineStr">
        <is>
          <t>Expense</t>
        </is>
      </c>
      <c r="G7" s="6" t="inlineStr">
        <is>
          <t>Internet</t>
        </is>
      </c>
      <c r="H7" s="6" t="inlineStr">
        <is>
          <t>Fibre broadband monthly plan</t>
        </is>
      </c>
      <c r="I7" s="6" t="inlineStr">
        <is>
          <t>Aotearoa Fibre Ltd</t>
        </is>
      </c>
      <c r="J7" s="6" t="inlineStr">
        <is>
          <t>Direct Debit</t>
        </is>
      </c>
      <c r="K7" s="35" t="n">
        <v>95</v>
      </c>
      <c r="L7" s="36">
        <f>IF(F7="Expense",K7*15%,0)</f>
        <v/>
      </c>
      <c r="M7" s="36">
        <f>K7+L7</f>
        <v/>
      </c>
      <c r="N7" s="9" t="n">
        <v>1</v>
      </c>
      <c r="O7" s="36">
        <f>M7*N7</f>
        <v/>
      </c>
      <c r="P7" s="3">
        <f>IFERROR(VLOOKUP(G7,Summary!$J$5:$K$14,2,FALSE),"")</f>
        <v/>
      </c>
      <c r="Q7" s="6" t="inlineStr">
        <is>
          <t>Unlimited plan for guests</t>
        </is>
      </c>
    </row>
    <row r="8">
      <c r="A8" s="10" t="inlineStr">
        <is>
          <t>TXN-006</t>
        </is>
      </c>
      <c r="B8" s="34" t="n">
        <v>46133</v>
      </c>
      <c r="C8" s="11">
        <f>TEXT(B8,"mmm")</f>
        <v/>
      </c>
      <c r="D8" s="6" t="inlineStr">
        <is>
          <t>Tasman Retreat</t>
        </is>
      </c>
      <c r="E8" s="6" t="inlineStr">
        <is>
          <t>Nelson</t>
        </is>
      </c>
      <c r="F8" s="6" t="inlineStr">
        <is>
          <t>Expense</t>
        </is>
      </c>
      <c r="G8" s="6" t="inlineStr">
        <is>
          <t>Insurance</t>
        </is>
      </c>
      <c r="H8" s="6" t="inlineStr">
        <is>
          <t>Annual house and contents premium</t>
        </is>
      </c>
      <c r="I8" s="6" t="inlineStr">
        <is>
          <t>Southern Cross Insurance</t>
        </is>
      </c>
      <c r="J8" s="6" t="inlineStr">
        <is>
          <t>Credit Card</t>
        </is>
      </c>
      <c r="K8" s="35" t="n">
        <v>1950</v>
      </c>
      <c r="L8" s="37">
        <f>IF(F8="Expense",K8*15%,0)</f>
        <v/>
      </c>
      <c r="M8" s="37">
        <f>K8+L8</f>
        <v/>
      </c>
      <c r="N8" s="9" t="n">
        <v>0.5</v>
      </c>
      <c r="O8" s="37">
        <f>M8*N8</f>
        <v/>
      </c>
      <c r="P8" s="10">
        <f>IFERROR(VLOOKUP(G8,Summary!$J$5:$K$14,2,FALSE),"")</f>
        <v/>
      </c>
      <c r="Q8" s="6" t="inlineStr">
        <is>
          <t>Mixed personal/rental use noted</t>
        </is>
      </c>
    </row>
    <row r="9">
      <c r="A9" s="3" t="inlineStr">
        <is>
          <t>TXN-007</t>
        </is>
      </c>
      <c r="B9" s="34" t="n">
        <v>46156</v>
      </c>
      <c r="C9" s="5">
        <f>TEXT(B9,"mmm")</f>
        <v/>
      </c>
      <c r="D9" s="6" t="inlineStr">
        <is>
          <t>Marine Parade Flat</t>
        </is>
      </c>
      <c r="E9" s="6" t="inlineStr">
        <is>
          <t>Napier</t>
        </is>
      </c>
      <c r="F9" s="6" t="inlineStr">
        <is>
          <t>Expense</t>
        </is>
      </c>
      <c r="G9" s="6" t="inlineStr">
        <is>
          <t>Repairs</t>
        </is>
      </c>
      <c r="H9" s="6" t="inlineStr">
        <is>
          <t>Fix leaking kitchen tap and waste pipe</t>
        </is>
      </c>
      <c r="I9" s="6" t="inlineStr">
        <is>
          <t>Hemi's Plumbing Services</t>
        </is>
      </c>
      <c r="J9" s="6" t="inlineStr">
        <is>
          <t>Bank Transfer</t>
        </is>
      </c>
      <c r="K9" s="35" t="n">
        <v>285</v>
      </c>
      <c r="L9" s="36">
        <f>IF(F9="Expense",K9*15%,0)</f>
        <v/>
      </c>
      <c r="M9" s="36">
        <f>K9+L9</f>
        <v/>
      </c>
      <c r="N9" s="9" t="n">
        <v>1</v>
      </c>
      <c r="O9" s="36">
        <f>M9*N9</f>
        <v/>
      </c>
      <c r="P9" s="3">
        <f>IFERROR(VLOOKUP(G9,Summary!$J$5:$K$14,2,FALSE),"")</f>
        <v/>
      </c>
      <c r="Q9" s="6" t="inlineStr">
        <is>
          <t>Invoice INV-8841 — Hemi</t>
        </is>
      </c>
    </row>
    <row r="10">
      <c r="A10" s="10" t="inlineStr">
        <is>
          <t>TXN-008</t>
        </is>
      </c>
      <c r="B10" s="34" t="n">
        <v>46179</v>
      </c>
      <c r="C10" s="11">
        <f>TEXT(B10,"mmm")</f>
        <v/>
      </c>
      <c r="D10" s="6" t="inlineStr">
        <is>
          <t>Fern Gully Bach</t>
        </is>
      </c>
      <c r="E10" s="6" t="inlineStr">
        <is>
          <t>Coromandel</t>
        </is>
      </c>
      <c r="F10" s="6" t="inlineStr">
        <is>
          <t>Expense</t>
        </is>
      </c>
      <c r="G10" s="6" t="inlineStr">
        <is>
          <t>Supplies</t>
        </is>
      </c>
      <c r="H10" s="6" t="inlineStr">
        <is>
          <t>Linen, towels and cleaning supplies</t>
        </is>
      </c>
      <c r="I10" s="6" t="inlineStr">
        <is>
          <t>The Warehouse Whitianga</t>
        </is>
      </c>
      <c r="J10" s="6" t="inlineStr">
        <is>
          <t>Credit Card</t>
        </is>
      </c>
      <c r="K10" s="35" t="n">
        <v>215.75</v>
      </c>
      <c r="L10" s="37">
        <f>IF(F10="Expense",K10*15%,0)</f>
        <v/>
      </c>
      <c r="M10" s="37">
        <f>K10+L10</f>
        <v/>
      </c>
      <c r="N10" s="9" t="n">
        <v>1</v>
      </c>
      <c r="O10" s="37">
        <f>M10*N10</f>
        <v/>
      </c>
      <c r="P10" s="10">
        <f>IFERROR(VLOOKUP(G10,Summary!$J$5:$K$14,2,FALSE),"")</f>
        <v/>
      </c>
      <c r="Q10" s="6" t="inlineStr">
        <is>
          <t>Restocked for winter bookings</t>
        </is>
      </c>
    </row>
    <row r="11">
      <c r="A11" s="3" t="inlineStr">
        <is>
          <t>TXN-009</t>
        </is>
      </c>
      <c r="B11" s="34" t="n">
        <v>46222</v>
      </c>
      <c r="C11" s="5">
        <f>TEXT(B11,"mmm")</f>
        <v/>
      </c>
      <c r="D11" s="6" t="inlineStr">
        <is>
          <t>Lakeside Bach</t>
        </is>
      </c>
      <c r="E11" s="6" t="inlineStr">
        <is>
          <t>Lake Taupō</t>
        </is>
      </c>
      <c r="F11" s="6" t="inlineStr">
        <is>
          <t>Income</t>
        </is>
      </c>
      <c r="G11" s="6" t="inlineStr">
        <is>
          <t>Booking Income</t>
        </is>
      </c>
      <c r="H11" s="6" t="inlineStr">
        <is>
          <t>Winter weekend booking 17–19 Jul</t>
        </is>
      </c>
      <c r="I11" s="6" t="inlineStr">
        <is>
          <t>BookaBach Platform</t>
        </is>
      </c>
      <c r="J11" s="6" t="inlineStr">
        <is>
          <t>Bank Transfer</t>
        </is>
      </c>
      <c r="K11" s="35" t="n">
        <v>890</v>
      </c>
      <c r="L11" s="36">
        <f>IF(F11="Expense",K11*15%,0)</f>
        <v/>
      </c>
      <c r="M11" s="36">
        <f>K11+L11</f>
        <v/>
      </c>
      <c r="N11" s="9" t="n">
        <v>1</v>
      </c>
      <c r="O11" s="36">
        <f>M11*N11</f>
        <v/>
      </c>
      <c r="P11" s="3">
        <f>IFERROR(VLOOKUP(G11,Summary!$J$5:$K$14,2,FALSE),"")</f>
        <v/>
      </c>
      <c r="Q11" s="6" t="inlineStr">
        <is>
          <t>Guest: Manaia — ski trip</t>
        </is>
      </c>
    </row>
    <row r="12">
      <c r="A12" s="10" t="inlineStr">
        <is>
          <t>TXN-010</t>
        </is>
      </c>
      <c r="B12" s="34" t="n">
        <v>46237</v>
      </c>
      <c r="C12" s="11">
        <f>TEXT(B12,"mmm")</f>
        <v/>
      </c>
      <c r="D12" s="6" t="inlineStr">
        <is>
          <t>Dunes Cottage</t>
        </is>
      </c>
      <c r="E12" s="6" t="inlineStr">
        <is>
          <t>Whangamatā</t>
        </is>
      </c>
      <c r="F12" s="6" t="inlineStr">
        <is>
          <t>Expense</t>
        </is>
      </c>
      <c r="G12" s="6" t="inlineStr">
        <is>
          <t>Garden Maintenance</t>
        </is>
      </c>
      <c r="H12" s="6" t="inlineStr">
        <is>
          <t>Lawn mowing and hedge trim</t>
        </is>
      </c>
      <c r="I12" s="6" t="inlineStr">
        <is>
          <t>Coastal Garden Care</t>
        </is>
      </c>
      <c r="J12" s="6" t="inlineStr">
        <is>
          <t>Cash</t>
        </is>
      </c>
      <c r="K12" s="35" t="n">
        <v>85</v>
      </c>
      <c r="L12" s="37">
        <f>IF(F12="Expense",K12*15%,0)</f>
        <v/>
      </c>
      <c r="M12" s="37">
        <f>K12+L12</f>
        <v/>
      </c>
      <c r="N12" s="9" t="n">
        <v>0</v>
      </c>
      <c r="O12" s="37">
        <f>M12*N12</f>
        <v/>
      </c>
      <c r="P12" s="10">
        <f>IFERROR(VLOOKUP(G12,Summary!$J$5:$K$14,2,FALSE),"")</f>
        <v/>
      </c>
      <c r="Q12" s="6" t="inlineStr">
        <is>
          <t>Personal-use period — not claimable</t>
        </is>
      </c>
    </row>
  </sheetData>
  <mergeCells count="1">
    <mergeCell ref="A1:Q1"/>
  </mergeCells>
  <dataValidations count="4">
    <dataValidation sqref="F3:F200" showErrorMessage="1" showInputMessage="1" allowBlank="1" type="list">
      <formula1>"Expense,Income"</formula1>
    </dataValidation>
    <dataValidation sqref="G3:G200" showErrorMessage="1" showInputMessage="1" allowBlank="1" type="list">
      <formula1>"Electricity,Rates,Insurance,Cleaning,Repairs,Internet,Garden Maintenance,Supplies,Booking Income,Other"</formula1>
    </dataValidation>
    <dataValidation sqref="J3:J200" showErrorMessage="1" showInputMessage="1" allowBlank="1" type="list">
      <formula1>"Bank Transfer,Credit Card,Direct Debit,Cash,Online Payment"</formula1>
    </dataValidation>
    <dataValidation sqref="N3:N200" showErrorMessage="1" showInputMessage="1" allowBlank="1" type="list">
      <formula1>"0%,25%,50%,75%,100%"</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9"/>
  <sheetViews>
    <sheetView workbookViewId="0">
      <selection activeCell="A1" sqref="A1"/>
    </sheetView>
  </sheetViews>
  <sheetFormatPr baseColWidth="8" defaultRowHeight="15"/>
  <cols>
    <col width="30" customWidth="1" min="1" max="1"/>
    <col width="16" customWidth="1" min="2" max="2"/>
    <col width="16" customWidth="1" min="3" max="3"/>
    <col width="16" customWidth="1" min="4" max="4"/>
    <col width="18" customWidth="1" min="5" max="5"/>
    <col width="2" customWidth="1" min="6" max="6"/>
    <col width="2" customWidth="1" min="7" max="7"/>
    <col width="2" customWidth="1" min="8" max="8"/>
    <col width="2" customWidth="1" min="9" max="9"/>
    <col width="22" customWidth="1" min="10" max="10"/>
    <col width="22" customWidth="1" min="11" max="11"/>
  </cols>
  <sheetData>
    <row r="1" ht="26" customHeight="1">
      <c r="A1" s="13" t="inlineStr">
        <is>
          <t>Bach Running Costs — Summary Dashboard</t>
        </is>
      </c>
    </row>
    <row r="2">
      <c r="A2" s="14" t="inlineStr">
        <is>
          <t>Reporting year:</t>
        </is>
      </c>
      <c r="B2" s="15" t="n">
        <v>2026</v>
      </c>
      <c r="C2" s="16" t="inlineStr">
        <is>
          <t>All figures in NZD. Confirm tax treatment with your accountant (mixed-use asset rules may apply).</t>
        </is>
      </c>
    </row>
    <row r="3"/>
    <row r="4">
      <c r="A4" s="17" t="inlineStr">
        <is>
          <t>Key Performance Indicators</t>
        </is>
      </c>
      <c r="J4" s="17" t="inlineStr">
        <is>
          <t>Category Lookup Table</t>
        </is>
      </c>
    </row>
    <row r="5">
      <c r="A5" s="18" t="inlineStr">
        <is>
          <t>Total income (incl GST)</t>
        </is>
      </c>
      <c r="B5" s="38">
        <f>SUMIF(Transactions!F3:F1000,"Income",Transactions!M3:M1000)</f>
        <v/>
      </c>
      <c r="J5" s="2" t="inlineStr">
        <is>
          <t>Category</t>
        </is>
      </c>
      <c r="K5" s="2" t="inlineStr">
        <is>
          <t>Budget Area</t>
        </is>
      </c>
    </row>
    <row r="6">
      <c r="A6" s="20" t="inlineStr">
        <is>
          <t>Total expenses (incl GST)</t>
        </is>
      </c>
      <c r="B6" s="39">
        <f>SUMIF(Transactions!F3:F1000,"Expense",Transactions!M3:M1000)</f>
        <v/>
      </c>
      <c r="J6" s="22" t="inlineStr">
        <is>
          <t>Electricity</t>
        </is>
      </c>
      <c r="K6" s="22" t="inlineStr">
        <is>
          <t>Utilities</t>
        </is>
      </c>
    </row>
    <row r="7">
      <c r="A7" s="18" t="inlineStr">
        <is>
          <t>Rental / claimable expenses</t>
        </is>
      </c>
      <c r="B7" s="38">
        <f>SUMIF(Transactions!F3:F1000,"Expense",Transactions!O3:O1000)</f>
        <v/>
      </c>
      <c r="J7" s="23" t="inlineStr">
        <is>
          <t>Rates</t>
        </is>
      </c>
      <c r="K7" s="23" t="inlineStr">
        <is>
          <t>Council &amp; Compliance</t>
        </is>
      </c>
    </row>
    <row r="8">
      <c r="A8" s="20" t="inlineStr">
        <is>
          <t>Net cash result</t>
        </is>
      </c>
      <c r="B8" s="39">
        <f>B5-B6</f>
        <v/>
      </c>
      <c r="J8" s="22" t="inlineStr">
        <is>
          <t>Insurance</t>
        </is>
      </c>
      <c r="K8" s="22" t="inlineStr">
        <is>
          <t>Protection</t>
        </is>
      </c>
    </row>
    <row r="9">
      <c r="A9" s="18" t="inlineStr">
        <is>
          <t>Average transaction value</t>
        </is>
      </c>
      <c r="B9" s="38">
        <f>IFERROR(AVERAGE(Transactions!M3:M1000),0)</f>
        <v/>
      </c>
      <c r="J9" s="23" t="inlineStr">
        <is>
          <t>Cleaning</t>
        </is>
      </c>
      <c r="K9" s="23" t="inlineStr">
        <is>
          <t>Guest Turnover</t>
        </is>
      </c>
    </row>
    <row r="10">
      <c r="A10" s="20" t="inlineStr">
        <is>
          <t>Number of expense transactions</t>
        </is>
      </c>
      <c r="B10" s="24">
        <f>COUNTIF(Transactions!F3:F1000,"Expense")</f>
        <v/>
      </c>
      <c r="J10" s="22" t="inlineStr">
        <is>
          <t>Repairs</t>
        </is>
      </c>
      <c r="K10" s="22" t="inlineStr">
        <is>
          <t>Maintenance</t>
        </is>
      </c>
    </row>
    <row r="11">
      <c r="A11" s="18" t="inlineStr">
        <is>
          <t>Percentage of expenses claimable</t>
        </is>
      </c>
      <c r="B11" s="40">
        <f>IF(B6=0,0,B7/B6)</f>
        <v/>
      </c>
      <c r="J11" s="23" t="inlineStr">
        <is>
          <t>Internet</t>
        </is>
      </c>
      <c r="K11" s="23" t="inlineStr">
        <is>
          <t>Utilities</t>
        </is>
      </c>
    </row>
    <row r="12">
      <c r="J12" s="22" t="inlineStr">
        <is>
          <t>Garden Maintenance</t>
        </is>
      </c>
      <c r="K12" s="22" t="inlineStr">
        <is>
          <t>Grounds</t>
        </is>
      </c>
    </row>
    <row r="13">
      <c r="J13" s="23" t="inlineStr">
        <is>
          <t>Supplies</t>
        </is>
      </c>
      <c r="K13" s="23" t="inlineStr">
        <is>
          <t>Guest Turnover</t>
        </is>
      </c>
    </row>
    <row r="14">
      <c r="A14" s="17" t="inlineStr">
        <is>
          <t>Monthly Analysis</t>
        </is>
      </c>
      <c r="J14" s="22" t="inlineStr">
        <is>
          <t>Booking Income</t>
        </is>
      </c>
      <c r="K14" s="22" t="inlineStr">
        <is>
          <t>Rental Income</t>
        </is>
      </c>
    </row>
    <row r="15">
      <c r="A15" s="2" t="inlineStr">
        <is>
          <t>Month</t>
        </is>
      </c>
      <c r="B15" s="2" t="inlineStr">
        <is>
          <t>Income</t>
        </is>
      </c>
      <c r="C15" s="2" t="inlineStr">
        <is>
          <t>Expenses</t>
        </is>
      </c>
      <c r="D15" s="2" t="inlineStr">
        <is>
          <t>Net Result</t>
        </is>
      </c>
      <c r="E15" s="2" t="inlineStr">
        <is>
          <t>Claimable Expenses</t>
        </is>
      </c>
      <c r="J15" s="23" t="inlineStr">
        <is>
          <t>Other</t>
        </is>
      </c>
      <c r="K15" s="23" t="inlineStr">
        <is>
          <t>Miscellaneous</t>
        </is>
      </c>
    </row>
    <row r="16">
      <c r="A16" s="26" t="inlineStr">
        <is>
          <t>Jan</t>
        </is>
      </c>
      <c r="B16" s="41">
        <f>SUMIFS(Transactions!$M$3:$M$1000,Transactions!$C$3:$C$1000,A16,Transactions!$F$3:$F$1000,"Income")</f>
        <v/>
      </c>
      <c r="C16" s="41">
        <f>SUMIFS(Transactions!$M$3:$M$1000,Transactions!$C$3:$C$1000,A16,Transactions!$F$3:$F$1000,"Expense")</f>
        <v/>
      </c>
      <c r="D16" s="41">
        <f>B16-C16</f>
        <v/>
      </c>
      <c r="E16" s="41">
        <f>SUMIFS(Transactions!$O$3:$O$1000,Transactions!$C$3:$C$1000,A16,Transactions!$F$3:$F$1000,"Expense")</f>
        <v/>
      </c>
    </row>
    <row r="17">
      <c r="A17" s="5" t="inlineStr">
        <is>
          <t>Feb</t>
        </is>
      </c>
      <c r="B17" s="36">
        <f>SUMIFS(Transactions!$M$3:$M$1000,Transactions!$C$3:$C$1000,A17,Transactions!$F$3:$F$1000,"Income")</f>
        <v/>
      </c>
      <c r="C17" s="36">
        <f>SUMIFS(Transactions!$M$3:$M$1000,Transactions!$C$3:$C$1000,A17,Transactions!$F$3:$F$1000,"Expense")</f>
        <v/>
      </c>
      <c r="D17" s="36">
        <f>B17-C17</f>
        <v/>
      </c>
      <c r="E17" s="36">
        <f>SUMIFS(Transactions!$O$3:$O$1000,Transactions!$C$3:$C$1000,A17,Transactions!$F$3:$F$1000,"Expense")</f>
        <v/>
      </c>
    </row>
    <row r="18">
      <c r="A18" s="26" t="inlineStr">
        <is>
          <t>Mar</t>
        </is>
      </c>
      <c r="B18" s="41">
        <f>SUMIFS(Transactions!$M$3:$M$1000,Transactions!$C$3:$C$1000,A18,Transactions!$F$3:$F$1000,"Income")</f>
        <v/>
      </c>
      <c r="C18" s="41">
        <f>SUMIFS(Transactions!$M$3:$M$1000,Transactions!$C$3:$C$1000,A18,Transactions!$F$3:$F$1000,"Expense")</f>
        <v/>
      </c>
      <c r="D18" s="41">
        <f>B18-C18</f>
        <v/>
      </c>
      <c r="E18" s="41">
        <f>SUMIFS(Transactions!$O$3:$O$1000,Transactions!$C$3:$C$1000,A18,Transactions!$F$3:$F$1000,"Expense")</f>
        <v/>
      </c>
      <c r="J18" s="17" t="inlineStr">
        <is>
          <t>Expenses by Category</t>
        </is>
      </c>
    </row>
    <row r="19">
      <c r="A19" s="5" t="inlineStr">
        <is>
          <t>Apr</t>
        </is>
      </c>
      <c r="B19" s="36">
        <f>SUMIFS(Transactions!$M$3:$M$1000,Transactions!$C$3:$C$1000,A19,Transactions!$F$3:$F$1000,"Income")</f>
        <v/>
      </c>
      <c r="C19" s="36">
        <f>SUMIFS(Transactions!$M$3:$M$1000,Transactions!$C$3:$C$1000,A19,Transactions!$F$3:$F$1000,"Expense")</f>
        <v/>
      </c>
      <c r="D19" s="36">
        <f>B19-C19</f>
        <v/>
      </c>
      <c r="E19" s="36">
        <f>SUMIFS(Transactions!$O$3:$O$1000,Transactions!$C$3:$C$1000,A19,Transactions!$F$3:$F$1000,"Expense")</f>
        <v/>
      </c>
      <c r="J19" s="28" t="inlineStr">
        <is>
          <t>Category</t>
        </is>
      </c>
      <c r="K19" s="28" t="inlineStr">
        <is>
          <t>Expenses (incl GST)</t>
        </is>
      </c>
    </row>
    <row r="20">
      <c r="A20" s="26" t="inlineStr">
        <is>
          <t>May</t>
        </is>
      </c>
      <c r="B20" s="41">
        <f>SUMIFS(Transactions!$M$3:$M$1000,Transactions!$C$3:$C$1000,A20,Transactions!$F$3:$F$1000,"Income")</f>
        <v/>
      </c>
      <c r="C20" s="41">
        <f>SUMIFS(Transactions!$M$3:$M$1000,Transactions!$C$3:$C$1000,A20,Transactions!$F$3:$F$1000,"Expense")</f>
        <v/>
      </c>
      <c r="D20" s="41">
        <f>B20-C20</f>
        <v/>
      </c>
      <c r="E20" s="41">
        <f>SUMIFS(Transactions!$O$3:$O$1000,Transactions!$C$3:$C$1000,A20,Transactions!$F$3:$F$1000,"Expense")</f>
        <v/>
      </c>
      <c r="J20" s="23" t="inlineStr">
        <is>
          <t>Electricity</t>
        </is>
      </c>
      <c r="K20" s="36">
        <f>SUMIF(Transactions!$G$3:$G$1000,J20,Transactions!$M$3:$M$1000)</f>
        <v/>
      </c>
    </row>
    <row r="21">
      <c r="A21" s="5" t="inlineStr">
        <is>
          <t>Jun</t>
        </is>
      </c>
      <c r="B21" s="36">
        <f>SUMIFS(Transactions!$M$3:$M$1000,Transactions!$C$3:$C$1000,A21,Transactions!$F$3:$F$1000,"Income")</f>
        <v/>
      </c>
      <c r="C21" s="36">
        <f>SUMIFS(Transactions!$M$3:$M$1000,Transactions!$C$3:$C$1000,A21,Transactions!$F$3:$F$1000,"Expense")</f>
        <v/>
      </c>
      <c r="D21" s="36">
        <f>B21-C21</f>
        <v/>
      </c>
      <c r="E21" s="36">
        <f>SUMIFS(Transactions!$O$3:$O$1000,Transactions!$C$3:$C$1000,A21,Transactions!$F$3:$F$1000,"Expense")</f>
        <v/>
      </c>
      <c r="J21" s="23" t="inlineStr">
        <is>
          <t>Rates</t>
        </is>
      </c>
      <c r="K21" s="36">
        <f>SUMIF(Transactions!$G$3:$G$1000,J21,Transactions!$M$3:$M$1000)</f>
        <v/>
      </c>
    </row>
    <row r="22">
      <c r="A22" s="26" t="inlineStr">
        <is>
          <t>Jul</t>
        </is>
      </c>
      <c r="B22" s="41">
        <f>SUMIFS(Transactions!$M$3:$M$1000,Transactions!$C$3:$C$1000,A22,Transactions!$F$3:$F$1000,"Income")</f>
        <v/>
      </c>
      <c r="C22" s="41">
        <f>SUMIFS(Transactions!$M$3:$M$1000,Transactions!$C$3:$C$1000,A22,Transactions!$F$3:$F$1000,"Expense")</f>
        <v/>
      </c>
      <c r="D22" s="41">
        <f>B22-C22</f>
        <v/>
      </c>
      <c r="E22" s="41">
        <f>SUMIFS(Transactions!$O$3:$O$1000,Transactions!$C$3:$C$1000,A22,Transactions!$F$3:$F$1000,"Expense")</f>
        <v/>
      </c>
      <c r="J22" s="23" t="inlineStr">
        <is>
          <t>Insurance</t>
        </is>
      </c>
      <c r="K22" s="36">
        <f>SUMIF(Transactions!$G$3:$G$1000,J22,Transactions!$M$3:$M$1000)</f>
        <v/>
      </c>
    </row>
    <row r="23">
      <c r="A23" s="5" t="inlineStr">
        <is>
          <t>Aug</t>
        </is>
      </c>
      <c r="B23" s="36">
        <f>SUMIFS(Transactions!$M$3:$M$1000,Transactions!$C$3:$C$1000,A23,Transactions!$F$3:$F$1000,"Income")</f>
        <v/>
      </c>
      <c r="C23" s="36">
        <f>SUMIFS(Transactions!$M$3:$M$1000,Transactions!$C$3:$C$1000,A23,Transactions!$F$3:$F$1000,"Expense")</f>
        <v/>
      </c>
      <c r="D23" s="36">
        <f>B23-C23</f>
        <v/>
      </c>
      <c r="E23" s="36">
        <f>SUMIFS(Transactions!$O$3:$O$1000,Transactions!$C$3:$C$1000,A23,Transactions!$F$3:$F$1000,"Expense")</f>
        <v/>
      </c>
      <c r="J23" s="23" t="inlineStr">
        <is>
          <t>Cleaning</t>
        </is>
      </c>
      <c r="K23" s="36">
        <f>SUMIF(Transactions!$G$3:$G$1000,J23,Transactions!$M$3:$M$1000)</f>
        <v/>
      </c>
    </row>
    <row r="24">
      <c r="A24" s="26" t="inlineStr">
        <is>
          <t>Sep</t>
        </is>
      </c>
      <c r="B24" s="41">
        <f>SUMIFS(Transactions!$M$3:$M$1000,Transactions!$C$3:$C$1000,A24,Transactions!$F$3:$F$1000,"Income")</f>
        <v/>
      </c>
      <c r="C24" s="41">
        <f>SUMIFS(Transactions!$M$3:$M$1000,Transactions!$C$3:$C$1000,A24,Transactions!$F$3:$F$1000,"Expense")</f>
        <v/>
      </c>
      <c r="D24" s="41">
        <f>B24-C24</f>
        <v/>
      </c>
      <c r="E24" s="41">
        <f>SUMIFS(Transactions!$O$3:$O$1000,Transactions!$C$3:$C$1000,A24,Transactions!$F$3:$F$1000,"Expense")</f>
        <v/>
      </c>
      <c r="J24" s="23" t="inlineStr">
        <is>
          <t>Repairs</t>
        </is>
      </c>
      <c r="K24" s="36">
        <f>SUMIF(Transactions!$G$3:$G$1000,J24,Transactions!$M$3:$M$1000)</f>
        <v/>
      </c>
    </row>
    <row r="25">
      <c r="A25" s="5" t="inlineStr">
        <is>
          <t>Oct</t>
        </is>
      </c>
      <c r="B25" s="36">
        <f>SUMIFS(Transactions!$M$3:$M$1000,Transactions!$C$3:$C$1000,A25,Transactions!$F$3:$F$1000,"Income")</f>
        <v/>
      </c>
      <c r="C25" s="36">
        <f>SUMIFS(Transactions!$M$3:$M$1000,Transactions!$C$3:$C$1000,A25,Transactions!$F$3:$F$1000,"Expense")</f>
        <v/>
      </c>
      <c r="D25" s="36">
        <f>B25-C25</f>
        <v/>
      </c>
      <c r="E25" s="36">
        <f>SUMIFS(Transactions!$O$3:$O$1000,Transactions!$C$3:$C$1000,A25,Transactions!$F$3:$F$1000,"Expense")</f>
        <v/>
      </c>
      <c r="J25" s="23" t="inlineStr">
        <is>
          <t>Internet</t>
        </is>
      </c>
      <c r="K25" s="36">
        <f>SUMIF(Transactions!$G$3:$G$1000,J25,Transactions!$M$3:$M$1000)</f>
        <v/>
      </c>
    </row>
    <row r="26">
      <c r="A26" s="26" t="inlineStr">
        <is>
          <t>Nov</t>
        </is>
      </c>
      <c r="B26" s="41">
        <f>SUMIFS(Transactions!$M$3:$M$1000,Transactions!$C$3:$C$1000,A26,Transactions!$F$3:$F$1000,"Income")</f>
        <v/>
      </c>
      <c r="C26" s="41">
        <f>SUMIFS(Transactions!$M$3:$M$1000,Transactions!$C$3:$C$1000,A26,Transactions!$F$3:$F$1000,"Expense")</f>
        <v/>
      </c>
      <c r="D26" s="41">
        <f>B26-C26</f>
        <v/>
      </c>
      <c r="E26" s="41">
        <f>SUMIFS(Transactions!$O$3:$O$1000,Transactions!$C$3:$C$1000,A26,Transactions!$F$3:$F$1000,"Expense")</f>
        <v/>
      </c>
      <c r="J26" s="23" t="inlineStr">
        <is>
          <t>Garden Maintenance</t>
        </is>
      </c>
      <c r="K26" s="36">
        <f>SUMIF(Transactions!$G$3:$G$1000,J26,Transactions!$M$3:$M$1000)</f>
        <v/>
      </c>
    </row>
    <row r="27">
      <c r="A27" s="5" t="inlineStr">
        <is>
          <t>Dec</t>
        </is>
      </c>
      <c r="B27" s="36">
        <f>SUMIFS(Transactions!$M$3:$M$1000,Transactions!$C$3:$C$1000,A27,Transactions!$F$3:$F$1000,"Income")</f>
        <v/>
      </c>
      <c r="C27" s="36">
        <f>SUMIFS(Transactions!$M$3:$M$1000,Transactions!$C$3:$C$1000,A27,Transactions!$F$3:$F$1000,"Expense")</f>
        <v/>
      </c>
      <c r="D27" s="36">
        <f>B27-C27</f>
        <v/>
      </c>
      <c r="E27" s="36">
        <f>SUMIFS(Transactions!$O$3:$O$1000,Transactions!$C$3:$C$1000,A27,Transactions!$F$3:$F$1000,"Expense")</f>
        <v/>
      </c>
      <c r="J27" s="23" t="inlineStr">
        <is>
          <t>Supplies</t>
        </is>
      </c>
      <c r="K27" s="36">
        <f>SUMIF(Transactions!$G$3:$G$1000,J27,Transactions!$M$3:$M$1000)</f>
        <v/>
      </c>
    </row>
    <row r="28">
      <c r="A28" s="29" t="inlineStr">
        <is>
          <t>Total</t>
        </is>
      </c>
      <c r="B28" s="42">
        <f>SUM(B16:B27)</f>
        <v/>
      </c>
      <c r="C28" s="42">
        <f>SUM(C16:C27)</f>
        <v/>
      </c>
      <c r="D28" s="42">
        <f>SUM(D16:D27)</f>
        <v/>
      </c>
      <c r="E28" s="42">
        <f>SUM(E16:E27)</f>
        <v/>
      </c>
      <c r="J28" s="23" t="inlineStr">
        <is>
          <t>Booking Income</t>
        </is>
      </c>
      <c r="K28" s="36">
        <f>SUMIF(Transactions!$G$3:$G$1000,J28,Transactions!$M$3:$M$1000)</f>
        <v/>
      </c>
    </row>
    <row r="29">
      <c r="J29" s="23" t="inlineStr">
        <is>
          <t>Other</t>
        </is>
      </c>
      <c r="K29" s="36">
        <f>SUMIF(Transactions!$G$3:$G$1000,J29,Transactions!$M$3:$M$1000)</f>
        <v/>
      </c>
    </row>
  </sheetData>
  <mergeCells count="5">
    <mergeCell ref="A1:H1"/>
    <mergeCell ref="A4:D4"/>
    <mergeCell ref="A14:E14"/>
    <mergeCell ref="J4:K4"/>
    <mergeCell ref="J18:K18"/>
  </mergeCells>
  <conditionalFormatting sqref="B8">
    <cfRule type="expression" priority="1" dxfId="0" stopIfTrue="1">
      <formula>B8&gt;=0</formula>
    </cfRule>
    <cfRule type="expression" priority="2" dxfId="1" stopIfTrue="1">
      <formula>B8&lt;0</formula>
    </cfRule>
  </conditionalFormatting>
  <conditionalFormatting sqref="B11">
    <cfRule type="expression" priority="3" dxfId="0" stopIfTrue="1">
      <formula>B11&gt;=0.5</formula>
    </cfRule>
  </conditionalFormatting>
  <conditionalFormatting sqref="D16:D27">
    <cfRule type="expression" priority="4" dxfId="0" stopIfTrue="1">
      <formula>D16&gt;=0</formula>
    </cfRule>
    <cfRule type="expression" priority="5" dxfId="1" stopIfTrue="1">
      <formula>D16&lt;0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s>
  <sheetData>
    <row r="1" ht="26" customHeight="1">
      <c r="A1" s="31" t="inlineStr">
        <is>
          <t>Bach / Holiday Home Running Costs Template — Instructions</t>
        </is>
      </c>
    </row>
    <row r="2"/>
    <row r="3">
      <c r="A3" s="32" t="inlineStr">
        <is>
          <t>1. Recording transactions</t>
        </is>
      </c>
    </row>
    <row r="4" ht="48" customHeight="1">
      <c r="A4" s="33" t="inlineStr">
        <is>
          <t>Enter one transaction per row on the Transactions sheet. Pale yellow cells are for your input; all other cells contain formulas and are calculated automatically. Sample rows may be replaced with your own data.</t>
        </is>
      </c>
    </row>
    <row r="5"/>
    <row r="6">
      <c r="A6" s="32" t="inlineStr">
        <is>
          <t>2. GST</t>
        </is>
      </c>
    </row>
    <row r="7" ht="48" customHeight="1">
      <c r="A7" s="33" t="inlineStr">
        <is>
          <t>Record amounts excluding GST where GST is identifiable on the invoice or receipt. The workbook calculates 15% GST for expense rows and adds it to give the GST-inclusive total. Income rows are entered at their full amount with no GST added by this template — confirm GST registration obligations with your tax adviser.</t>
        </is>
      </c>
    </row>
    <row r="8"/>
    <row r="9">
      <c r="A9" s="32" t="inlineStr">
        <is>
          <t>3. Rental-use percentage</t>
        </is>
      </c>
    </row>
    <row r="10" ht="48" customHeight="1">
      <c r="A10" s="33" t="inlineStr">
        <is>
          <t>Use the rental-use percentage (0%, 25%, 50%, 75% or 100%) to distinguish private use from rental use. The Claimable / Rental Amount column multiplies the GST-inclusive amount by this percentage.</t>
        </is>
      </c>
    </row>
    <row r="11"/>
    <row r="12">
      <c r="A12" s="32" t="inlineStr">
        <is>
          <t>4. Record keeping</t>
        </is>
      </c>
    </row>
    <row r="13" ht="48" customHeight="1">
      <c r="A13" s="33" t="inlineStr">
        <is>
          <t>Keep invoices, booking platform statements, council rates notices, insurance documents and maintenance records that support each entry.</t>
        </is>
      </c>
    </row>
    <row r="14"/>
    <row r="15">
      <c r="A15" s="32" t="inlineStr">
        <is>
          <t>5. Seven-year retention</t>
        </is>
      </c>
    </row>
    <row r="16" ht="48" customHeight="1">
      <c r="A16" s="33" t="inlineStr">
        <is>
          <t>Retain all records for at least seven years as required by the Inland Revenue Department (IRD).</t>
        </is>
      </c>
    </row>
    <row r="17"/>
    <row r="18">
      <c r="A18" s="32" t="inlineStr">
        <is>
          <t>6. Tax advice</t>
        </is>
      </c>
    </row>
    <row r="19" ht="48" customHeight="1">
      <c r="A19" s="33" t="inlineStr">
        <is>
          <t>Confirm GST, income tax and mixed-use asset rules with a qualified tax adviser or accountant. Holiday homes with mixed private and rental use can fall under the mixed-use asset rules, which may limit deductible expenses. This template is a record-keeping aid only and does not constitute tax advice.</t>
        </is>
      </c>
    </row>
    <row r="20"/>
    <row r="21">
      <c r="A21" s="32" t="inlineStr">
        <is>
          <t>7. Colour key</t>
        </is>
      </c>
    </row>
    <row r="22" ht="48" customHeight="1">
      <c r="A22" s="33" t="inlineStr">
        <is>
          <t>Pale yellow cells are inputs. Dark navy cells are headers. Green figures indicate positive results; red figures indicate negative or alert results (e.g. a month with a net cash deficit).</t>
        </is>
      </c>
    </row>
    <row r="23"/>
    <row r="24">
      <c r="A24" s="32" t="inlineStr">
        <is>
          <t>8. Extending the table</t>
        </is>
      </c>
    </row>
    <row r="25" ht="48" customHeight="1">
      <c r="A25" s="33" t="inlineStr">
        <is>
          <t>No sheet protection is applied, so you may freely extend the transaction table. Copy the formula columns (Month, GST, Amount incl GST, Claimable Amount, Budget Category) down as you add rows. Dropdown lists apply to rows 3–200 by default and can be extended via Data &gt; Data Validation.</t>
        </is>
      </c>
    </row>
    <row r="26"/>
    <row r="27">
      <c r="A27" s="32" t="inlineStr">
        <is>
          <t>9. Summary dashboard</t>
        </is>
      </c>
    </row>
    <row r="28" ht="48" customHeight="1">
      <c r="A28" s="33" t="inlineStr">
        <is>
          <t>The Summary sheet shows key performance indicators, a month-by-month analysis, charts, and the category lookup table that drives the Budget Category column. Set the reporting year in cell B2 (2026 by default).</t>
        </is>
      </c>
    </row>
  </sheetData>
  <mergeCells count="10">
    <mergeCell ref="A1:D1"/>
    <mergeCell ref="A4:D4"/>
    <mergeCell ref="A7:D7"/>
    <mergeCell ref="A10:D10"/>
    <mergeCell ref="A13:D13"/>
    <mergeCell ref="A16:D16"/>
    <mergeCell ref="A19:D19"/>
    <mergeCell ref="A22:D22"/>
    <mergeCell ref="A25:D25"/>
    <mergeCell ref="A28:D2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2026-07-30T13:30:28Z</dcterms:created>
  <dcterms:modified xmlns:dcterms="http://purl.org/dc/terms/" xmlns:xsi="http://www.w3.org/2001/XMLSchema-instance" xsi:type="dcterms:W3CDTF">2026-07-30T13:30:28Z</dcterms:modified>
</cp:coreProperties>
</file>