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ond Lodgements"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4">
    <numFmt numFmtId="164" formatCode="$#,##0.00"/>
    <numFmt numFmtId="165" formatCode="DD/MM/YYYY"/>
    <numFmt numFmtId="166" formatCode="0.0"/>
    <numFmt numFmtId="167" formatCode="0.0%"/>
  </numFmts>
  <fonts count="7">
    <font>
      <name val="Calibri"/>
      <family val="2"/>
      <color theme="1"/>
      <sz val="11"/>
      <scheme val="minor"/>
    </font>
    <font>
      <name val="Calibri"/>
      <b val="1"/>
      <color rgb="000F766E"/>
      <sz val="16"/>
    </font>
    <font>
      <i val="1"/>
      <color rgb="00555555"/>
      <sz val="9"/>
    </font>
    <font>
      <name val="Calibri"/>
      <b val="1"/>
      <color rgb="00FFFFFF"/>
      <sz val="11"/>
    </font>
    <font>
      <b val="1"/>
    </font>
    <font>
      <b val="1"/>
      <color rgb="00FFFFFF"/>
    </font>
    <font>
      <b val="1"/>
      <color rgb="000F766E"/>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
      <patternFill patternType="solid">
        <fgColor rgb="00FFFBEB"/>
        <bgColor rgb="00FFFB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7">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left" vertical="center" wrapText="1"/>
    </xf>
    <xf numFmtId="0" fontId="0" fillId="3" borderId="1" applyAlignment="1" pivotButton="0" quotePrefix="0" xfId="0">
      <alignment horizontal="left" vertical="center" wrapText="1"/>
    </xf>
    <xf numFmtId="164" fontId="0" fillId="3" borderId="1" applyAlignment="1" pivotButton="0" quotePrefix="0" xfId="0">
      <alignment horizontal="right" vertical="center"/>
    </xf>
    <xf numFmtId="2" fontId="0" fillId="3" borderId="1" applyAlignment="1" pivotButton="0" quotePrefix="0" xfId="0">
      <alignment horizontal="right" vertical="center"/>
    </xf>
    <xf numFmtId="165" fontId="0" fillId="3" borderId="1" applyAlignment="1" pivotButton="0" quotePrefix="0" xfId="0">
      <alignment horizontal="left" vertical="center" wrapText="1"/>
    </xf>
    <xf numFmtId="1" fontId="0" fillId="3" borderId="1" applyAlignment="1" pivotButton="0" quotePrefix="0" xfId="0">
      <alignment horizontal="right" vertical="center"/>
    </xf>
    <xf numFmtId="0" fontId="4" fillId="4" borderId="1" applyAlignment="1" pivotButton="0" quotePrefix="0" xfId="0">
      <alignment horizontal="left" vertical="center" wrapText="1"/>
    </xf>
    <xf numFmtId="0" fontId="0" fillId="4" borderId="1" applyAlignment="1" pivotButton="0" quotePrefix="0" xfId="0">
      <alignment horizontal="left" vertical="center" wrapText="1"/>
    </xf>
    <xf numFmtId="164" fontId="0" fillId="4" borderId="1" applyAlignment="1" pivotButton="0" quotePrefix="0" xfId="0">
      <alignment horizontal="right" vertical="center"/>
    </xf>
    <xf numFmtId="2" fontId="0" fillId="4" borderId="1" applyAlignment="1" pivotButton="0" quotePrefix="0" xfId="0">
      <alignment horizontal="right" vertical="center"/>
    </xf>
    <xf numFmtId="165" fontId="0" fillId="4" borderId="1" applyAlignment="1" pivotButton="0" quotePrefix="0" xfId="0">
      <alignment horizontal="left" vertical="center" wrapText="1"/>
    </xf>
    <xf numFmtId="1" fontId="0" fillId="4" borderId="1" applyAlignment="1" pivotButton="0" quotePrefix="0" xfId="0">
      <alignment horizontal="right" vertical="center"/>
    </xf>
    <xf numFmtId="0" fontId="5" fillId="5" borderId="1" pivotButton="0" quotePrefix="0" xfId="0"/>
    <xf numFmtId="164" fontId="5" fillId="5" borderId="1" pivotButton="0" quotePrefix="0" xfId="0"/>
    <xf numFmtId="166" fontId="5" fillId="5" borderId="1" pivotButton="0" quotePrefix="0" xfId="0"/>
    <xf numFmtId="0" fontId="3" fillId="5" borderId="0" applyAlignment="1" pivotButton="0" quotePrefix="0" xfId="0">
      <alignment horizontal="center" vertical="center" wrapText="1"/>
    </xf>
    <xf numFmtId="0" fontId="0" fillId="4" borderId="1" pivotButton="0" quotePrefix="0" xfId="0"/>
    <xf numFmtId="0" fontId="0" fillId="6" borderId="1" pivotButton="0" quotePrefix="0" xfId="0"/>
    <xf numFmtId="0" fontId="0" fillId="0" borderId="1" pivotButton="0" quotePrefix="0" xfId="0"/>
    <xf numFmtId="164" fontId="0" fillId="0" borderId="1" pivotButton="0" quotePrefix="0" xfId="0"/>
    <xf numFmtId="0" fontId="1" fillId="0" borderId="0" pivotButton="0" quotePrefix="0" xfId="0"/>
    <xf numFmtId="0" fontId="0" fillId="3" borderId="1" pivotButton="0" quotePrefix="0" xfId="0"/>
    <xf numFmtId="1" fontId="4" fillId="3" borderId="1" pivotButton="0" quotePrefix="0" xfId="0"/>
    <xf numFmtId="164" fontId="4" fillId="4" borderId="1" pivotButton="0" quotePrefix="0" xfId="0"/>
    <xf numFmtId="164" fontId="4" fillId="3" borderId="1" pivotButton="0" quotePrefix="0" xfId="0"/>
    <xf numFmtId="166" fontId="4" fillId="4" borderId="1" pivotButton="0" quotePrefix="0" xfId="0"/>
    <xf numFmtId="167" fontId="4" fillId="3" borderId="1" pivotButton="0" quotePrefix="0" xfId="0"/>
    <xf numFmtId="1" fontId="4" fillId="4" borderId="1" pivotButton="0" quotePrefix="0" xfId="0"/>
    <xf numFmtId="0" fontId="3" fillId="2" borderId="1" pivotButton="0" quotePrefix="0" xfId="0"/>
    <xf numFmtId="164" fontId="0" fillId="3" borderId="1" pivotButton="0" quotePrefix="0" xfId="0"/>
    <xf numFmtId="164" fontId="0" fillId="4" borderId="1" pivotButton="0" quotePrefix="0" xfId="0"/>
    <xf numFmtId="0" fontId="6"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dxfs count="3">
    <dxf>
      <font>
        <b val="1"/>
        <color rgb="00DC2626"/>
      </font>
      <fill>
        <patternFill patternType="solid">
          <fgColor rgb="00FEE2E2"/>
          <bgColor rgb="00FEE2E2"/>
        </patternFill>
      </fill>
    </dxf>
    <dxf>
      <font>
        <b val="1"/>
        <color rgb="0022C55E"/>
      </font>
      <fill>
        <patternFill patternType="solid">
          <fgColor rgb="00DCFCE7"/>
          <bgColor rgb="00DCFCE7"/>
        </patternFill>
      </fill>
    </dxf>
    <dxf>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Bond Amount by Property (City)</a:t>
            </a:r>
          </a:p>
        </rich>
      </tx>
    </title>
    <plotArea>
      <barChart>
        <barDir val="col"/>
        <grouping val="clustered"/>
        <ser>
          <idx val="0"/>
          <order val="0"/>
          <tx>
            <strRef>
              <f>'Dashboard'!B12</f>
            </strRef>
          </tx>
          <spPr>
            <a:solidFill xmlns:a="http://schemas.openxmlformats.org/drawingml/2006/main">
              <a:srgbClr val="0F766E"/>
            </a:solidFill>
            <a:ln xmlns:a="http://schemas.openxmlformats.org/drawingml/2006/main">
              <a:prstDash val="solid"/>
            </a:ln>
          </spPr>
          <cat>
            <numRef>
              <f>'Dashboard'!$A$13:$A$21</f>
            </numRef>
          </cat>
          <val>
            <numRef>
              <f>'Dashboard'!$B$13:$B$21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City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Bond 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Bond Status Breakdown</a:t>
            </a:r>
          </a:p>
        </rich>
      </tx>
    </title>
    <plotArea>
      <pieChart>
        <varyColors val="1"/>
        <ser>
          <idx val="0"/>
          <order val="0"/>
          <tx>
            <strRef>
              <f>'Dashboard'!B23</f>
            </strRef>
          </tx>
          <spPr>
            <a:solidFill xmlns:a="http://schemas.openxmlformats.org/drawingml/2006/main">
              <a:srgbClr val="14B8A6"/>
            </a:solidFill>
            <a:ln xmlns:a="http://schemas.openxmlformats.org/drawingml/2006/main">
              <a:prstDash val="solid"/>
            </a:ln>
          </spPr>
          <cat>
            <numRef>
              <f>'Dashboard'!$A$24:$A$27</f>
            </numRef>
          </cat>
          <val>
            <numRef>
              <f>'Dashboard'!$B$24:$B$27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3</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28"/>
  <sheetViews>
    <sheetView workbookViewId="0">
      <pane ySplit="4" topLeftCell="A5" activePane="bottomLeft" state="frozen"/>
      <selection pane="bottomLeft" activeCell="A1" sqref="A1"/>
    </sheetView>
  </sheetViews>
  <sheetFormatPr baseColWidth="8" defaultRowHeight="15"/>
  <cols>
    <col width="12" customWidth="1" min="1" max="1"/>
    <col width="16" customWidth="1" min="2" max="2"/>
    <col width="20" customWidth="1" min="3" max="3"/>
    <col width="16" customWidth="1" min="4" max="4"/>
    <col width="13" customWidth="1" min="5" max="5"/>
    <col width="14" customWidth="1" min="6" max="6"/>
    <col width="12" customWidth="1" min="7" max="7"/>
    <col width="16" customWidth="1" min="8" max="8"/>
    <col width="16" customWidth="1" min="9" max="9"/>
    <col width="20" customWidth="1" min="10" max="10"/>
    <col width="12" customWidth="1" min="11" max="11"/>
    <col width="12" customWidth="1" min="12" max="12"/>
    <col width="15" customWidth="1" min="13" max="13"/>
    <col width="13" customWidth="1" min="14" max="14"/>
    <col width="14" customWidth="1" min="15" max="15"/>
    <col width="26" customWidth="1" min="16" max="16"/>
  </cols>
  <sheetData>
    <row r="1" ht="26" customHeight="1">
      <c r="A1" s="1" t="inlineStr">
        <is>
          <t>BOND LODGEMENT RECORD - RESIDENTIAL TENANCIES (NZ)</t>
        </is>
      </c>
    </row>
    <row r="2">
      <c r="A2" s="2" t="inlineStr">
        <is>
          <t>Tracks bonds received and lodged with Tenancy Services (MBIE) per Residential Tenancies Act 1986</t>
        </is>
      </c>
    </row>
    <row r="3"/>
    <row r="4" ht="32" customHeight="1">
      <c r="A4" s="3" t="inlineStr">
        <is>
          <t>Lodgement ID</t>
        </is>
      </c>
      <c r="B4" s="3" t="inlineStr">
        <is>
          <t>Tenant Name</t>
        </is>
      </c>
      <c r="C4" s="3" t="inlineStr">
        <is>
          <t>Property Address</t>
        </is>
      </c>
      <c r="D4" s="3" t="inlineStr">
        <is>
          <t>City</t>
        </is>
      </c>
      <c r="E4" s="3" t="inlineStr">
        <is>
          <t>Weekly Rent ($)</t>
        </is>
      </c>
      <c r="F4" s="3" t="inlineStr">
        <is>
          <t>Bond Amount ($)</t>
        </is>
      </c>
      <c r="G4" s="3" t="inlineStr">
        <is>
          <t>Bond (Weeks)</t>
        </is>
      </c>
      <c r="H4" s="3" t="inlineStr">
        <is>
          <t>Tenancy Start Date</t>
        </is>
      </c>
      <c r="I4" s="3" t="inlineStr">
        <is>
          <t>Bond Received Date</t>
        </is>
      </c>
      <c r="J4" s="3" t="inlineStr">
        <is>
          <t>Date Lodged w/ Tenancy Services</t>
        </is>
      </c>
      <c r="K4" s="3" t="inlineStr">
        <is>
          <t>Days to Lodge</t>
        </is>
      </c>
      <c r="L4" s="3" t="inlineStr">
        <is>
          <t>Compliance</t>
        </is>
      </c>
      <c r="M4" s="3" t="inlineStr">
        <is>
          <t>MBIE Bond Number</t>
        </is>
      </c>
      <c r="N4" s="3" t="inlineStr">
        <is>
          <t>Status</t>
        </is>
      </c>
      <c r="O4" s="3" t="inlineStr">
        <is>
          <t>Refund Date</t>
        </is>
      </c>
      <c r="P4" s="3" t="inlineStr">
        <is>
          <t>Notes</t>
        </is>
      </c>
    </row>
    <row r="5">
      <c r="A5" s="4" t="inlineStr">
        <is>
          <t>BL-001</t>
        </is>
      </c>
      <c r="B5" s="5" t="inlineStr">
        <is>
          <t>Aroha Ngata</t>
        </is>
      </c>
      <c r="C5" s="5" t="inlineStr">
        <is>
          <t>12 Karangahape Rd</t>
        </is>
      </c>
      <c r="D5" s="5" t="inlineStr">
        <is>
          <t>Auckland</t>
        </is>
      </c>
      <c r="E5" s="6" t="n">
        <v>620</v>
      </c>
      <c r="F5" s="6" t="n">
        <v>2480</v>
      </c>
      <c r="G5" s="7">
        <f>IFERROR(F5/E5,0)</f>
        <v/>
      </c>
      <c r="H5" s="8" t="inlineStr">
        <is>
          <t>2026-04-01</t>
        </is>
      </c>
      <c r="I5" s="8" t="inlineStr">
        <is>
          <t>2026-04-01</t>
        </is>
      </c>
      <c r="J5" s="8" t="inlineStr">
        <is>
          <t>2026-04-18</t>
        </is>
      </c>
      <c r="K5" s="9">
        <f>IFERROR(J5-I5,0)</f>
        <v/>
      </c>
      <c r="L5" s="5">
        <f>IF(K5&lt;=23,"On Time","Late")</f>
        <v/>
      </c>
      <c r="M5" s="5" t="inlineStr">
        <is>
          <t>MBIE-88213</t>
        </is>
      </c>
      <c r="N5" s="5" t="inlineStr">
        <is>
          <t>Active</t>
        </is>
      </c>
      <c r="O5" s="5" t="n"/>
      <c r="P5" s="5" t="inlineStr">
        <is>
          <t>Standard 4-week bond</t>
        </is>
      </c>
    </row>
    <row r="6">
      <c r="A6" s="10" t="inlineStr">
        <is>
          <t>BL-002</t>
        </is>
      </c>
      <c r="B6" s="11" t="inlineStr">
        <is>
          <t>Liam Sutton</t>
        </is>
      </c>
      <c r="C6" s="11" t="inlineStr">
        <is>
          <t>45 Cuba Street</t>
        </is>
      </c>
      <c r="D6" s="11" t="inlineStr">
        <is>
          <t>Wellington</t>
        </is>
      </c>
      <c r="E6" s="12" t="n">
        <v>480</v>
      </c>
      <c r="F6" s="12" t="n">
        <v>1920</v>
      </c>
      <c r="G6" s="13">
        <f>IFERROR(F6/E6,0)</f>
        <v/>
      </c>
      <c r="H6" s="14" t="inlineStr">
        <is>
          <t>2026-02-15</t>
        </is>
      </c>
      <c r="I6" s="14" t="inlineStr">
        <is>
          <t>2026-02-16</t>
        </is>
      </c>
      <c r="J6" s="14" t="inlineStr">
        <is>
          <t>2026-03-05</t>
        </is>
      </c>
      <c r="K6" s="15">
        <f>IFERROR(J6-I6,0)</f>
        <v/>
      </c>
      <c r="L6" s="11">
        <f>IF(K6&lt;=23,"On Time","Late")</f>
        <v/>
      </c>
      <c r="M6" s="11" t="inlineStr">
        <is>
          <t>MBIE-88214</t>
        </is>
      </c>
      <c r="N6" s="11" t="inlineStr">
        <is>
          <t>Active</t>
        </is>
      </c>
      <c r="O6" s="11" t="n"/>
      <c r="P6" s="11" t="inlineStr"/>
    </row>
    <row r="7">
      <c r="A7" s="4" t="inlineStr">
        <is>
          <t>BL-003</t>
        </is>
      </c>
      <c r="B7" s="5" t="inlineStr">
        <is>
          <t>Charlotte Reid</t>
        </is>
      </c>
      <c r="C7" s="5" t="inlineStr">
        <is>
          <t>8 Riccarton Rd</t>
        </is>
      </c>
      <c r="D7" s="5" t="inlineStr">
        <is>
          <t>Christchurch</t>
        </is>
      </c>
      <c r="E7" s="6" t="n">
        <v>510</v>
      </c>
      <c r="F7" s="6" t="n">
        <v>2040</v>
      </c>
      <c r="G7" s="7">
        <f>IFERROR(F7/E7,0)</f>
        <v/>
      </c>
      <c r="H7" s="8" t="inlineStr">
        <is>
          <t>2026-01-10</t>
        </is>
      </c>
      <c r="I7" s="8" t="inlineStr">
        <is>
          <t>2026-01-12</t>
        </is>
      </c>
      <c r="J7" s="8" t="inlineStr">
        <is>
          <t>2026-02-20</t>
        </is>
      </c>
      <c r="K7" s="9">
        <f>IFERROR(J7-I7,0)</f>
        <v/>
      </c>
      <c r="L7" s="5">
        <f>IF(K7&lt;=23,"On Time","Late")</f>
        <v/>
      </c>
      <c r="M7" s="5" t="inlineStr">
        <is>
          <t>MBIE-88215</t>
        </is>
      </c>
      <c r="N7" s="5" t="inlineStr">
        <is>
          <t>Active</t>
        </is>
      </c>
      <c r="O7" s="5" t="n"/>
      <c r="P7" s="5" t="inlineStr">
        <is>
          <t>Late lodgement - follow up</t>
        </is>
      </c>
    </row>
    <row r="8">
      <c r="A8" s="10" t="inlineStr">
        <is>
          <t>BL-004</t>
        </is>
      </c>
      <c r="B8" s="11" t="inlineStr">
        <is>
          <t>Manaia Walker</t>
        </is>
      </c>
      <c r="C8" s="11" t="inlineStr">
        <is>
          <t>23 Victoria St</t>
        </is>
      </c>
      <c r="D8" s="11" t="inlineStr">
        <is>
          <t>Hamilton</t>
        </is>
      </c>
      <c r="E8" s="12" t="n">
        <v>450</v>
      </c>
      <c r="F8" s="12" t="n">
        <v>1800</v>
      </c>
      <c r="G8" s="13">
        <f>IFERROR(F8/E8,0)</f>
        <v/>
      </c>
      <c r="H8" s="14" t="inlineStr">
        <is>
          <t>2025-11-05</t>
        </is>
      </c>
      <c r="I8" s="14" t="inlineStr">
        <is>
          <t>2025-11-06</t>
        </is>
      </c>
      <c r="J8" s="14" t="inlineStr">
        <is>
          <t>2025-11-22</t>
        </is>
      </c>
      <c r="K8" s="15">
        <f>IFERROR(J8-I8,0)</f>
        <v/>
      </c>
      <c r="L8" s="11">
        <f>IF(K8&lt;=23,"On Time","Late")</f>
        <v/>
      </c>
      <c r="M8" s="11" t="inlineStr">
        <is>
          <t>MBIE-88216</t>
        </is>
      </c>
      <c r="N8" s="11" t="inlineStr">
        <is>
          <t>Refunded</t>
        </is>
      </c>
      <c r="O8" s="14" t="inlineStr">
        <is>
          <t>2026-05-30</t>
        </is>
      </c>
      <c r="P8" s="11" t="inlineStr">
        <is>
          <t>Tenancy ended, bond refunded</t>
        </is>
      </c>
    </row>
    <row r="9">
      <c r="A9" s="4" t="inlineStr">
        <is>
          <t>BL-005</t>
        </is>
      </c>
      <c r="B9" s="5" t="inlineStr">
        <is>
          <t>Sophie Marsh</t>
        </is>
      </c>
      <c r="C9" s="5" t="inlineStr">
        <is>
          <t>5 Devonport Rd</t>
        </is>
      </c>
      <c r="D9" s="5" t="inlineStr">
        <is>
          <t>Tauranga</t>
        </is>
      </c>
      <c r="E9" s="6" t="n">
        <v>560</v>
      </c>
      <c r="F9" s="6" t="n">
        <v>2240</v>
      </c>
      <c r="G9" s="7">
        <f>IFERROR(F9/E9,0)</f>
        <v/>
      </c>
      <c r="H9" s="8" t="inlineStr">
        <is>
          <t>2026-03-01</t>
        </is>
      </c>
      <c r="I9" s="8" t="inlineStr">
        <is>
          <t>2026-03-02</t>
        </is>
      </c>
      <c r="J9" s="8" t="inlineStr">
        <is>
          <t>2026-03-19</t>
        </is>
      </c>
      <c r="K9" s="9">
        <f>IFERROR(J9-I9,0)</f>
        <v/>
      </c>
      <c r="L9" s="5">
        <f>IF(K9&lt;=23,"On Time","Late")</f>
        <v/>
      </c>
      <c r="M9" s="5" t="inlineStr">
        <is>
          <t>MBIE-88217</t>
        </is>
      </c>
      <c r="N9" s="5" t="inlineStr">
        <is>
          <t>Active</t>
        </is>
      </c>
      <c r="O9" s="5" t="n"/>
      <c r="P9" s="5" t="inlineStr"/>
    </row>
    <row r="10">
      <c r="A10" s="10" t="inlineStr">
        <is>
          <t>BL-006</t>
        </is>
      </c>
      <c r="B10" s="11" t="inlineStr">
        <is>
          <t>Hemi Rangi</t>
        </is>
      </c>
      <c r="C10" s="11" t="inlineStr">
        <is>
          <t>17 George Street</t>
        </is>
      </c>
      <c r="D10" s="11" t="inlineStr">
        <is>
          <t>Dunedin</t>
        </is>
      </c>
      <c r="E10" s="12" t="n">
        <v>430</v>
      </c>
      <c r="F10" s="12" t="n">
        <v>1720</v>
      </c>
      <c r="G10" s="13">
        <f>IFERROR(F10/E10,0)</f>
        <v/>
      </c>
      <c r="H10" s="14" t="inlineStr">
        <is>
          <t>2026-05-01</t>
        </is>
      </c>
      <c r="I10" s="14" t="inlineStr">
        <is>
          <t>2026-05-02</t>
        </is>
      </c>
      <c r="J10" s="14" t="inlineStr">
        <is>
          <t>2026-05-25</t>
        </is>
      </c>
      <c r="K10" s="15">
        <f>IFERROR(J10-I10,0)</f>
        <v/>
      </c>
      <c r="L10" s="11">
        <f>IF(K10&lt;=23,"On Time","Late")</f>
        <v/>
      </c>
      <c r="M10" s="11" t="inlineStr">
        <is>
          <t>MBIE-88218</t>
        </is>
      </c>
      <c r="N10" s="11" t="inlineStr">
        <is>
          <t>Active</t>
        </is>
      </c>
      <c r="O10" s="11" t="n"/>
      <c r="P10" s="11" t="inlineStr">
        <is>
          <t>Slightly late</t>
        </is>
      </c>
    </row>
    <row r="11">
      <c r="A11" s="4" t="inlineStr">
        <is>
          <t>BL-007</t>
        </is>
      </c>
      <c r="B11" s="5" t="inlineStr">
        <is>
          <t>Isabella Cole</t>
        </is>
      </c>
      <c r="C11" s="5" t="inlineStr">
        <is>
          <t>31 Emerson St</t>
        </is>
      </c>
      <c r="D11" s="5" t="inlineStr">
        <is>
          <t>Napier</t>
        </is>
      </c>
      <c r="E11" s="6" t="n">
        <v>495</v>
      </c>
      <c r="F11" s="6" t="n">
        <v>1980</v>
      </c>
      <c r="G11" s="7">
        <f>IFERROR(F11/E11,0)</f>
        <v/>
      </c>
      <c r="H11" s="8" t="inlineStr">
        <is>
          <t>2026-06-01</t>
        </is>
      </c>
      <c r="I11" s="8" t="inlineStr">
        <is>
          <t>2026-06-01</t>
        </is>
      </c>
      <c r="J11" s="8" t="inlineStr">
        <is>
          <t>2026-06-15</t>
        </is>
      </c>
      <c r="K11" s="9">
        <f>IFERROR(J11-I11,0)</f>
        <v/>
      </c>
      <c r="L11" s="5">
        <f>IF(K11&lt;=23,"On Time","Late")</f>
        <v/>
      </c>
      <c r="M11" s="5" t="inlineStr">
        <is>
          <t>MBIE-88219</t>
        </is>
      </c>
      <c r="N11" s="5" t="inlineStr">
        <is>
          <t>Active</t>
        </is>
      </c>
      <c r="O11" s="5" t="n"/>
      <c r="P11" s="5" t="inlineStr"/>
    </row>
    <row r="12">
      <c r="A12" s="10" t="inlineStr">
        <is>
          <t>BL-008</t>
        </is>
      </c>
      <c r="B12" s="11" t="inlineStr">
        <is>
          <t>Nikau Thompson</t>
        </is>
      </c>
      <c r="C12" s="11" t="inlineStr">
        <is>
          <t>9 Fenton Street</t>
        </is>
      </c>
      <c r="D12" s="11" t="inlineStr">
        <is>
          <t>Rotorua</t>
        </is>
      </c>
      <c r="E12" s="12" t="n">
        <v>470</v>
      </c>
      <c r="F12" s="12" t="n">
        <v>1880</v>
      </c>
      <c r="G12" s="13">
        <f>IFERROR(F12/E12,0)</f>
        <v/>
      </c>
      <c r="H12" s="14" t="inlineStr">
        <is>
          <t>2026-03-20</t>
        </is>
      </c>
      <c r="I12" s="14" t="inlineStr">
        <is>
          <t>2026-03-21</t>
        </is>
      </c>
      <c r="J12" s="14" t="inlineStr">
        <is>
          <t>2026-04-10</t>
        </is>
      </c>
      <c r="K12" s="15">
        <f>IFERROR(J12-I12,0)</f>
        <v/>
      </c>
      <c r="L12" s="11">
        <f>IF(K12&lt;=23,"On Time","Late")</f>
        <v/>
      </c>
      <c r="M12" s="11" t="inlineStr">
        <is>
          <t>MBIE-88220</t>
        </is>
      </c>
      <c r="N12" s="11" t="inlineStr">
        <is>
          <t>Active</t>
        </is>
      </c>
      <c r="O12" s="11" t="n"/>
      <c r="P12" s="11" t="inlineStr"/>
    </row>
    <row r="13">
      <c r="A13" s="4" t="inlineStr">
        <is>
          <t>BL-009</t>
        </is>
      </c>
      <c r="B13" s="5" t="inlineStr">
        <is>
          <t>Grace Halligan</t>
        </is>
      </c>
      <c r="C13" s="5" t="inlineStr">
        <is>
          <t>60 Main Street</t>
        </is>
      </c>
      <c r="D13" s="5" t="inlineStr">
        <is>
          <t>Palmerston North</t>
        </is>
      </c>
      <c r="E13" s="6" t="n">
        <v>440</v>
      </c>
      <c r="F13" s="6" t="n">
        <v>1760</v>
      </c>
      <c r="G13" s="7">
        <f>IFERROR(F13/E13,0)</f>
        <v/>
      </c>
      <c r="H13" s="8" t="inlineStr">
        <is>
          <t>2026-06-10</t>
        </is>
      </c>
      <c r="I13" s="8" t="inlineStr">
        <is>
          <t>2026-06-11</t>
        </is>
      </c>
      <c r="J13" s="8" t="inlineStr">
        <is>
          <t>2026-06-25</t>
        </is>
      </c>
      <c r="K13" s="9">
        <f>IFERROR(J13-I13,0)</f>
        <v/>
      </c>
      <c r="L13" s="5">
        <f>IF(K13&lt;=23,"On Time","Late")</f>
        <v/>
      </c>
      <c r="M13" s="5" t="inlineStr">
        <is>
          <t>MBIE-88221</t>
        </is>
      </c>
      <c r="N13" s="5" t="inlineStr">
        <is>
          <t>Transferred</t>
        </is>
      </c>
      <c r="O13" s="5" t="n"/>
      <c r="P13" s="5" t="inlineStr">
        <is>
          <t>Bond transferred to new landlord</t>
        </is>
      </c>
    </row>
    <row r="14"/>
    <row r="15">
      <c r="B15" s="16" t="inlineStr">
        <is>
          <t>TOTALS / AVERAGES</t>
        </is>
      </c>
      <c r="E15" s="17">
        <f>AVERAGE(E5:E13)</f>
        <v/>
      </c>
      <c r="F15" s="17">
        <f>SUM(F5:F13)</f>
        <v/>
      </c>
      <c r="K15" s="18">
        <f>AVERAGE(K5:K13)</f>
        <v/>
      </c>
    </row>
    <row r="16"/>
    <row r="17">
      <c r="B17" s="19" t="inlineStr">
        <is>
          <t>Compliance Summary</t>
        </is>
      </c>
    </row>
    <row r="18">
      <c r="B18" s="20" t="inlineStr">
        <is>
          <t>On Time Lodgements</t>
        </is>
      </c>
      <c r="C18" s="20">
        <f>COUNTIF(L5:L13,"On Time")</f>
        <v/>
      </c>
    </row>
    <row r="19">
      <c r="B19" s="21" t="inlineStr">
        <is>
          <t>Late Lodgements</t>
        </is>
      </c>
      <c r="C19" s="21">
        <f>COUNTIF(L5:L13,"Late")</f>
        <v/>
      </c>
    </row>
    <row r="20">
      <c r="B20" s="20" t="inlineStr">
        <is>
          <t>Active Bonds</t>
        </is>
      </c>
      <c r="C20" s="20">
        <f>COUNTIF(N5:N13,"Active")</f>
        <v/>
      </c>
    </row>
    <row r="21">
      <c r="B21" s="21" t="inlineStr">
        <is>
          <t>Refunded Bonds</t>
        </is>
      </c>
      <c r="C21" s="21">
        <f>COUNTIF(N5:N13,"Refunded")</f>
        <v/>
      </c>
    </row>
    <row r="22"/>
    <row r="23"/>
    <row r="24">
      <c r="B24" s="19" t="inlineStr">
        <is>
          <t>Bond Lookup Tool</t>
        </is>
      </c>
    </row>
    <row r="25">
      <c r="B25" s="22" t="inlineStr">
        <is>
          <t>Enter Lodgement ID:</t>
        </is>
      </c>
      <c r="C25" s="21" t="inlineStr">
        <is>
          <t>BL-003</t>
        </is>
      </c>
    </row>
    <row r="26">
      <c r="B26" s="22" t="inlineStr">
        <is>
          <t>Tenant Name</t>
        </is>
      </c>
      <c r="C26" s="22">
        <f>IFERROR(VLOOKUP(C25,A5:P13,2,0),"Not Found")</f>
        <v/>
      </c>
    </row>
    <row r="27">
      <c r="B27" s="22" t="inlineStr">
        <is>
          <t>Bond Amount ($)</t>
        </is>
      </c>
      <c r="C27" s="23">
        <f>IFERROR(VLOOKUP(C25,A5:P13,6,0),0)</f>
        <v/>
      </c>
    </row>
    <row r="28">
      <c r="B28" s="22" t="inlineStr">
        <is>
          <t>Status</t>
        </is>
      </c>
      <c r="C28" s="22">
        <f>IFERROR(VLOOKUP(C25,A5:P13,14,0),"Not Found")</f>
        <v/>
      </c>
    </row>
  </sheetData>
  <mergeCells count="4">
    <mergeCell ref="A1:P1"/>
    <mergeCell ref="A2:P2"/>
    <mergeCell ref="B17:C17"/>
    <mergeCell ref="B24:C24"/>
  </mergeCells>
  <conditionalFormatting sqref="L5:L13">
    <cfRule type="expression" priority="1" dxfId="0" stopIfTrue="1">
      <formula>L5="Late"</formula>
    </cfRule>
    <cfRule type="expression" priority="2" dxfId="1" stopIfTrue="1">
      <formula>L5="On Time"</formula>
    </cfRule>
  </conditionalFormatting>
  <conditionalFormatting sqref="N5:N13">
    <cfRule type="expression" priority="3" dxfId="2">
      <formula>N5="Refunded"</formula>
    </cfRule>
  </conditionalFormatting>
  <dataValidations count="1">
    <dataValidation sqref="N5:N13" showErrorMessage="1" showInputMessage="1" allowBlank="1" type="list">
      <formula1>"Active,Refunded,Transferred,Disputed"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26" customWidth="1" min="1" max="1"/>
    <col width="18" customWidth="1" min="2" max="2"/>
  </cols>
  <sheetData>
    <row r="1" ht="26" customHeight="1">
      <c r="A1" s="24" t="inlineStr">
        <is>
          <t>BOND LODGEMENT DASHBOARD</t>
        </is>
      </c>
    </row>
    <row r="2"/>
    <row r="3">
      <c r="A3" s="19" t="inlineStr">
        <is>
          <t>Key Metrics</t>
        </is>
      </c>
    </row>
    <row r="4">
      <c r="A4" s="25" t="inlineStr">
        <is>
          <t>Total Bonds Lodged</t>
        </is>
      </c>
      <c r="B4" s="26">
        <f>COUNTA('Bond Lodgements'!A5:A13)</f>
        <v/>
      </c>
    </row>
    <row r="5">
      <c r="A5" s="20" t="inlineStr">
        <is>
          <t>Total Bond Value ($)</t>
        </is>
      </c>
      <c r="B5" s="27">
        <f>SUM('Bond Lodgements'!F5:F13)</f>
        <v/>
      </c>
    </row>
    <row r="6">
      <c r="A6" s="25" t="inlineStr">
        <is>
          <t>Average Weekly Rent ($)</t>
        </is>
      </c>
      <c r="B6" s="28">
        <f>AVERAGE('Bond Lodgements'!E5:E13)</f>
        <v/>
      </c>
    </row>
    <row r="7">
      <c r="A7" s="20" t="inlineStr">
        <is>
          <t>Average Days to Lodge</t>
        </is>
      </c>
      <c r="B7" s="29">
        <f>AVERAGE('Bond Lodgements'!K5:K13)</f>
        <v/>
      </c>
    </row>
    <row r="8">
      <c r="A8" s="25" t="inlineStr">
        <is>
          <t>On-Time Rate (%)</t>
        </is>
      </c>
      <c r="B8" s="30">
        <f>IFERROR(COUNTIF('Bond Lodgements'!L5:L13,"On Time")/COUNTA('Bond Lodgements'!L5:L13),0)</f>
        <v/>
      </c>
    </row>
    <row r="9">
      <c r="A9" s="20" t="inlineStr">
        <is>
          <t>Active Bonds</t>
        </is>
      </c>
      <c r="B9" s="31">
        <f>COUNTIF('Bond Lodgements'!N5:N13,"Active")</f>
        <v/>
      </c>
    </row>
    <row r="10"/>
    <row r="11"/>
    <row r="12">
      <c r="A12" s="32" t="inlineStr">
        <is>
          <t>City</t>
        </is>
      </c>
      <c r="B12" s="32" t="inlineStr">
        <is>
          <t>Bond Amount ($)</t>
        </is>
      </c>
    </row>
    <row r="13">
      <c r="A13" s="25" t="inlineStr">
        <is>
          <t>12 Karangahape Rd</t>
        </is>
      </c>
      <c r="B13" s="33">
        <f>'Bond Lodgements'!F5</f>
        <v/>
      </c>
    </row>
    <row r="14">
      <c r="A14" s="20" t="inlineStr">
        <is>
          <t>45 Cuba Street</t>
        </is>
      </c>
      <c r="B14" s="34">
        <f>'Bond Lodgements'!F6</f>
        <v/>
      </c>
    </row>
    <row r="15">
      <c r="A15" s="25" t="inlineStr">
        <is>
          <t>8 Riccarton Rd</t>
        </is>
      </c>
      <c r="B15" s="33">
        <f>'Bond Lodgements'!F7</f>
        <v/>
      </c>
    </row>
    <row r="16">
      <c r="A16" s="20" t="inlineStr">
        <is>
          <t>23 Victoria St</t>
        </is>
      </c>
      <c r="B16" s="34">
        <f>'Bond Lodgements'!F8</f>
        <v/>
      </c>
    </row>
    <row r="17">
      <c r="A17" s="25" t="inlineStr">
        <is>
          <t>5 Devonport Rd</t>
        </is>
      </c>
      <c r="B17" s="33">
        <f>'Bond Lodgements'!F9</f>
        <v/>
      </c>
    </row>
    <row r="18">
      <c r="A18" s="20" t="inlineStr">
        <is>
          <t>17 George Street</t>
        </is>
      </c>
      <c r="B18" s="34">
        <f>'Bond Lodgements'!F10</f>
        <v/>
      </c>
    </row>
    <row r="19">
      <c r="A19" s="25" t="inlineStr">
        <is>
          <t>31 Emerson St</t>
        </is>
      </c>
      <c r="B19" s="33">
        <f>'Bond Lodgements'!F11</f>
        <v/>
      </c>
    </row>
    <row r="20">
      <c r="A20" s="20" t="inlineStr">
        <is>
          <t>9 Fenton Street</t>
        </is>
      </c>
      <c r="B20" s="34">
        <f>'Bond Lodgements'!F12</f>
        <v/>
      </c>
    </row>
    <row r="21">
      <c r="A21" s="25" t="inlineStr">
        <is>
          <t>60 Main Street</t>
        </is>
      </c>
      <c r="B21" s="33">
        <f>'Bond Lodgements'!F13</f>
        <v/>
      </c>
    </row>
    <row r="22"/>
    <row r="23">
      <c r="A23" s="32" t="inlineStr">
        <is>
          <t>Status</t>
        </is>
      </c>
      <c r="B23" s="32" t="inlineStr">
        <is>
          <t>Count</t>
        </is>
      </c>
    </row>
    <row r="24">
      <c r="A24" s="25" t="inlineStr">
        <is>
          <t>Active</t>
        </is>
      </c>
      <c r="B24" s="25">
        <f>COUNTIF('Bond Lodgements'!N5:N13,"Active")</f>
        <v/>
      </c>
    </row>
    <row r="25">
      <c r="A25" s="20" t="inlineStr">
        <is>
          <t>Refunded</t>
        </is>
      </c>
      <c r="B25" s="20">
        <f>COUNTIF('Bond Lodgements'!N5:N13,"Refunded")</f>
        <v/>
      </c>
    </row>
    <row r="26">
      <c r="A26" s="25" t="inlineStr">
        <is>
          <t>Transferred</t>
        </is>
      </c>
      <c r="B26" s="25">
        <f>COUNTIF('Bond Lodgements'!N5:N13,"Transferred")</f>
        <v/>
      </c>
    </row>
    <row r="27">
      <c r="A27" s="20" t="inlineStr">
        <is>
          <t>Disputed</t>
        </is>
      </c>
      <c r="B27" s="20">
        <f>COUNTIF('Bond Lodgements'!N5:N13,"Disputed")</f>
        <v/>
      </c>
    </row>
  </sheetData>
  <mergeCells count="2">
    <mergeCell ref="A1:F1"/>
    <mergeCell ref="A3:B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24" customWidth="1" min="1" max="1"/>
    <col width="30" customWidth="1" min="2" max="2"/>
    <col width="30" customWidth="1" min="3" max="3"/>
    <col width="30" customWidth="1" min="4" max="4"/>
  </cols>
  <sheetData>
    <row r="1" ht="26" customHeight="1">
      <c r="A1" s="24" t="inlineStr">
        <is>
          <t>INSTRUCTIONS - BOND LODGEMENT RECORD</t>
        </is>
      </c>
    </row>
    <row r="2"/>
    <row r="3" ht="44" customHeight="1">
      <c r="A3" s="35" t="inlineStr">
        <is>
          <t>Purpose</t>
        </is>
      </c>
      <c r="B3" s="36" t="inlineStr">
        <is>
          <t>This workbook helps property managers and landlords track residential tenancy bonds received from tenants and confirm they are lodged with Tenancy Services (MBIE) as required under the Residential Tenancies Act 1986.</t>
        </is>
      </c>
    </row>
    <row r="4" ht="44" customHeight="1">
      <c r="B4" s="36" t="inlineStr"/>
    </row>
    <row r="5" ht="44" customHeight="1">
      <c r="A5" s="35" t="inlineStr">
        <is>
          <t>Sheet: Bond Lodgements</t>
        </is>
      </c>
      <c r="B5" s="36" t="inlineStr">
        <is>
          <t>Main record of all bonds. Enter tenant and property details, weekly rent and bond amount. Bond (Weeks) auto-calculates. Days to Lodge and Compliance columns automatically flag whether the bond was lodged within the legal 23 working-day limit.</t>
        </is>
      </c>
    </row>
    <row r="6" ht="44" customHeight="1">
      <c r="A6" s="35" t="inlineStr">
        <is>
          <t>Key Columns</t>
        </is>
      </c>
      <c r="B6" s="36" t="inlineStr">
        <is>
          <t>Weekly Rent ($) and Bond Amount ($) are pale yellow input cells - edit these directly. Bond (Weeks), Days to Lodge and Compliance are formula-driven and update automatically.</t>
        </is>
      </c>
    </row>
    <row r="7" ht="44" customHeight="1">
      <c r="A7" s="35" t="inlineStr">
        <is>
          <t>Compliance Colours</t>
        </is>
      </c>
      <c r="B7" s="36" t="inlineStr">
        <is>
          <t>Green (On Time) means the bond was lodged within 23 days of receipt. Red (Late) means the legal timeframe was missed and follow-up action is required.</t>
        </is>
      </c>
    </row>
    <row r="8" ht="44" customHeight="1">
      <c r="A8" s="35" t="inlineStr">
        <is>
          <t>Status Dropdown</t>
        </is>
      </c>
      <c r="B8" s="36" t="inlineStr">
        <is>
          <t>Use the Status column dropdown (Active, Refunded, Transferred, Disputed) to keep records current. Conditional formatting highlights Refunded bonds in green.</t>
        </is>
      </c>
    </row>
    <row r="9" ht="44" customHeight="1">
      <c r="A9" s="35" t="inlineStr">
        <is>
          <t>Bond Lookup Tool</t>
        </is>
      </c>
      <c r="B9" s="36" t="inlineStr">
        <is>
          <t>Enter a Lodgement ID in the yellow cell under 'Bond Lookup Tool' to instantly retrieve the tenant name, bond amount and status using VLOOKUP.</t>
        </is>
      </c>
    </row>
    <row r="10" ht="44" customHeight="1">
      <c r="A10" s="35" t="inlineStr">
        <is>
          <t>Sheet: Dashboard</t>
        </is>
      </c>
      <c r="B10" s="36" t="inlineStr">
        <is>
          <t>Provides key metrics (total bonds, total value, average rent, average days to lodge, on-time rate) plus a bar chart of bond amounts by city and a pie chart of status breakdown.</t>
        </is>
      </c>
    </row>
    <row r="11" ht="44" customHeight="1">
      <c r="A11" s="35" t="inlineStr">
        <is>
          <t>Updating Data</t>
        </is>
      </c>
      <c r="B11" s="36" t="inlineStr">
        <is>
          <t>Add new rows above the Totals row in Bond Lodgements, keeping the same column structure. All summary formulas and charts will extend automatically if ranges are widened.</t>
        </is>
      </c>
    </row>
    <row r="12" ht="44" customHeight="1">
      <c r="A12" s="35" t="inlineStr">
        <is>
          <t>Legal Note</t>
        </is>
      </c>
      <c r="B12" s="36" t="inlineStr">
        <is>
          <t>Under the Residential Tenancies Act 1986, landlords must lodge bonds with Tenancy Services within 23 working days of receipt. Keep MBIE Bond Numbers on file as proof of lodgement.</t>
        </is>
      </c>
    </row>
  </sheetData>
  <mergeCells count="11">
    <mergeCell ref="A1:D1"/>
    <mergeCell ref="B3:D3"/>
    <mergeCell ref="B4:D4"/>
    <mergeCell ref="B5:D5"/>
    <mergeCell ref="B6:D6"/>
    <mergeCell ref="B7:D7"/>
    <mergeCell ref="B8:D8"/>
    <mergeCell ref="B9:D9"/>
    <mergeCell ref="B10:D10"/>
    <mergeCell ref="B11:D11"/>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2026-07-21T17:22:18Z</dcterms:created>
  <dcterms:modified xmlns:dcterms="http://purl.org/dc/terms/" xmlns:xsi="http://www.w3.org/2001/XMLSchema-instance" xsi:type="dcterms:W3CDTF">2026-07-21T17:22:18Z</dcterms:modified>
</cp:coreProperties>
</file>