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k Solids Log" sheetId="1" state="visible" r:id="rId1"/>
    <sheet xmlns:r="http://schemas.openxmlformats.org/officeDocument/2006/relationships" name="Monthly Summa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0&quot;%&quot;"/>
    <numFmt numFmtId="166" formatCode="$#,##0.00"/>
    <numFmt numFmtId="167" formatCode="MMM YYYY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16A34A"/>
      <sz val="13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F0FDFA"/>
        <bgColor rgb="00F0FDFA"/>
      </patternFill>
    </fill>
    <fill>
      <patternFill patternType="solid">
        <fgColor rgb="0000843D"/>
        <bgColor rgb="0000843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3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3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3" fillId="6" borderId="1" pivotButton="0" quotePrefix="0" xfId="0"/>
    <xf numFmtId="3" fontId="3" fillId="6" borderId="1" pivotButton="0" quotePrefix="0" xfId="0"/>
    <xf numFmtId="166" fontId="3" fillId="6" borderId="1" pivotButton="0" quotePrefix="0" xfId="0"/>
    <xf numFmtId="165" fontId="3" fillId="6" borderId="1" pivotButton="0" quotePrefix="0" xfId="0"/>
    <xf numFmtId="0" fontId="1" fillId="0" borderId="0" pivotButton="0" quotePrefix="0" xfId="0"/>
    <xf numFmtId="0" fontId="2" fillId="7" borderId="0" applyAlignment="1" pivotButton="0" quotePrefix="0" xfId="0">
      <alignment horizontal="center" vertical="center" wrapText="1"/>
    </xf>
    <xf numFmtId="3" fontId="3" fillId="0" borderId="0" applyAlignment="1" pivotButton="0" quotePrefix="0" xfId="0">
      <alignment horizontal="center" vertical="center" wrapText="1"/>
    </xf>
    <xf numFmtId="166" fontId="3" fillId="0" borderId="0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3" fontId="4" fillId="6" borderId="0" applyAlignment="1" pivotButton="0" quotePrefix="0" xfId="0">
      <alignment horizontal="center" vertical="center" wrapText="1"/>
    </xf>
    <xf numFmtId="166" fontId="4" fillId="6" borderId="0" applyAlignment="1" pivotButton="0" quotePrefix="0" xfId="0">
      <alignment horizontal="center" vertical="center" wrapText="1"/>
    </xf>
    <xf numFmtId="167" fontId="4" fillId="6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3" fillId="6" borderId="1" pivotButton="0" quotePrefix="0" xfId="0"/>
    <xf numFmtId="165" fontId="3" fillId="6" borderId="1" pivotButton="0" quotePrefix="0" xfId="0"/>
    <xf numFmtId="166" fontId="3" fillId="0" borderId="0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66" fontId="4" fillId="6" borderId="0" applyAlignment="1" pivotButton="0" quotePrefix="0" xfId="0">
      <alignment horizontal="center" vertical="center" wrapText="1"/>
    </xf>
    <xf numFmtId="167" fontId="4" fillId="6" borderId="0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Milk Solids &amp; Gross Income</a:t>
            </a:r>
          </a:p>
        </rich>
      </tx>
    </title>
    <plotArea>
      <lineChart>
        <grouping val="standard"/>
        <ser>
          <idx val="0"/>
          <order val="0"/>
          <tx>
            <strRef>
              <f>'Monthly Summary'!C7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'Monthly Summary'!$A$8:$A$16</f>
            </numRef>
          </cat>
          <val>
            <numRef>
              <f>'Monthly Summary'!$C$8:$C$16</f>
            </numRef>
          </val>
        </ser>
        <ser>
          <idx val="1"/>
          <order val="1"/>
          <tx>
            <strRef>
              <f>'Monthly Summary'!G7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'Monthly Summary'!$A$8:$A$16</f>
            </numRef>
          </cat>
          <val>
            <numRef>
              <f>'Monthly Summary'!$G$8:$G$16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Average Monthly Payout Rate ($/kg MS)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'Monthly Summary'!F7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'Monthly Summary'!$A$8:$A$16</f>
            </numRef>
          </cat>
          <val>
            <numRef>
              <f>'Monthly Summary'!$F$8:$F$16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Milk Solids (kg MS)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'Monthly Summary'!C7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'Monthly Summary'!$A$8:$A$16</f>
            </numRef>
          </cat>
          <val>
            <numRef>
              <f>'Monthly Summary'!$C$8:$C$16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Quality Flag Distribution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'Dashboard'!I8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'Dashboard'!$H$9:$H$11</f>
            </numRef>
          </cat>
          <val>
            <numRef>
              <f>'Dashboard'!$I$9:$I$11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17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35</row>
      <rowOff>0</rowOff>
    </from>
    <ext cx="79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12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20" customWidth="1" min="4" max="4"/>
    <col width="14" customWidth="1" min="5" max="5"/>
    <col width="14" customWidth="1" min="6" max="6"/>
    <col width="9" customWidth="1" min="7" max="7"/>
    <col width="11" customWidth="1" min="8" max="8"/>
    <col width="16" customWidth="1" min="9" max="9"/>
    <col width="16" customWidth="1" min="10" max="10"/>
    <col width="18" customWidth="1" min="11" max="11"/>
    <col width="12" customWidth="1" min="12" max="12"/>
    <col width="15" customWidth="1" min="13" max="13"/>
    <col width="24" customWidth="1" min="14" max="14"/>
    <col width="12" customWidth="1" min="15" max="15"/>
  </cols>
  <sheetData>
    <row r="1" ht="24" customHeight="1">
      <c r="A1" s="1" t="inlineStr">
        <is>
          <t>Dairy Farm Milk Solids Tracker — Milk Solids Log</t>
        </is>
      </c>
    </row>
    <row r="2">
      <c r="A2" s="2" t="inlineStr">
        <is>
          <t>Date</t>
        </is>
      </c>
      <c r="B2" s="2" t="inlineStr">
        <is>
          <t>Farm / Block</t>
        </is>
      </c>
      <c r="C2" s="2" t="inlineStr">
        <is>
          <t>Herd ID</t>
        </is>
      </c>
      <c r="D2" s="2" t="inlineStr">
        <is>
          <t>Supplier Name</t>
        </is>
      </c>
      <c r="E2" s="2" t="inlineStr">
        <is>
          <t>Milking Herd Count</t>
        </is>
      </c>
      <c r="F2" s="2" t="inlineStr">
        <is>
          <t>Milk Volume (L)</t>
        </is>
      </c>
      <c r="G2" s="2" t="inlineStr">
        <is>
          <t>Fat %</t>
        </is>
      </c>
      <c r="H2" s="2" t="inlineStr">
        <is>
          <t>Protein %</t>
        </is>
      </c>
      <c r="I2" s="2" t="inlineStr">
        <is>
          <t>Milk Solids (kg MS)</t>
        </is>
      </c>
      <c r="J2" s="2" t="inlineStr">
        <is>
          <t>Milk Payout Rate ($/kg MS)</t>
        </is>
      </c>
      <c r="K2" s="2" t="inlineStr">
        <is>
          <t>Gross Milk Income (NZD)</t>
        </is>
      </c>
      <c r="L2" s="2" t="inlineStr">
        <is>
          <t>GST @ 15%</t>
        </is>
      </c>
      <c r="M2" s="2" t="inlineStr">
        <is>
          <t>Net Income (NZD)</t>
        </is>
      </c>
      <c r="N2" s="2" t="inlineStr">
        <is>
          <t>Comments</t>
        </is>
      </c>
      <c r="O2" s="2" t="inlineStr">
        <is>
          <t>Quality Flag</t>
        </is>
      </c>
    </row>
    <row r="3">
      <c r="A3" s="36" t="n">
        <v>46037</v>
      </c>
      <c r="B3" s="4" t="inlineStr">
        <is>
          <t>Aroha Dairy Ltd - Block A</t>
        </is>
      </c>
      <c r="C3" s="4" t="inlineStr">
        <is>
          <t>Herd001</t>
        </is>
      </c>
      <c r="D3" s="4" t="inlineStr">
        <is>
          <t>Aroha Dairy Ltd</t>
        </is>
      </c>
      <c r="E3" s="5" t="n">
        <v>320</v>
      </c>
      <c r="F3" s="5" t="n">
        <v>5800</v>
      </c>
      <c r="G3" s="37" t="n">
        <v>4.8</v>
      </c>
      <c r="H3" s="37" t="n">
        <v>3.7</v>
      </c>
      <c r="I3" s="5">
        <f>F3*((G3+H3)/100)</f>
        <v/>
      </c>
      <c r="J3" s="38" t="n">
        <v>9.85</v>
      </c>
      <c r="K3" s="39">
        <f>I3*J3</f>
        <v/>
      </c>
      <c r="L3" s="39">
        <f>K3*15%</f>
        <v/>
      </c>
      <c r="M3" s="39">
        <f>K3+L3</f>
        <v/>
      </c>
      <c r="N3" s="4" t="inlineStr">
        <is>
          <t>Peak lactation</t>
        </is>
      </c>
      <c r="O3" s="4">
        <f>IF(I3&gt;=180,"Good",IF(I3&gt;=150,"Monitor","Low"))</f>
        <v/>
      </c>
    </row>
    <row r="4">
      <c r="A4" s="40" t="n">
        <v>46068</v>
      </c>
      <c r="B4" s="10" t="inlineStr">
        <is>
          <t>Hemi Farms - Te Awamutu</t>
        </is>
      </c>
      <c r="C4" s="10" t="inlineStr">
        <is>
          <t>Herd002</t>
        </is>
      </c>
      <c r="D4" s="10" t="inlineStr">
        <is>
          <t>Hemi Farms</t>
        </is>
      </c>
      <c r="E4" s="11" t="n">
        <v>280</v>
      </c>
      <c r="F4" s="11" t="n">
        <v>5200</v>
      </c>
      <c r="G4" s="41" t="n">
        <v>4.6</v>
      </c>
      <c r="H4" s="41" t="n">
        <v>3.6</v>
      </c>
      <c r="I4" s="11">
        <f>F4*((G4+H4)/100)</f>
        <v/>
      </c>
      <c r="J4" s="38" t="n">
        <v>9.9</v>
      </c>
      <c r="K4" s="42">
        <f>I4*J4</f>
        <v/>
      </c>
      <c r="L4" s="42">
        <f>K4*15%</f>
        <v/>
      </c>
      <c r="M4" s="42">
        <f>K4+L4</f>
        <v/>
      </c>
      <c r="N4" s="10" t="inlineStr">
        <is>
          <t>Good pasture growth</t>
        </is>
      </c>
      <c r="O4" s="10">
        <f>IF(I4&gt;=180,"Good",IF(I4&gt;=150,"Monitor","Low"))</f>
        <v/>
      </c>
    </row>
    <row r="5">
      <c r="A5" s="36" t="n">
        <v>46096</v>
      </c>
      <c r="B5" s="4" t="inlineStr">
        <is>
          <t>Manaia Pastures - Rotorua</t>
        </is>
      </c>
      <c r="C5" s="4" t="inlineStr">
        <is>
          <t>Herd003</t>
        </is>
      </c>
      <c r="D5" s="4" t="inlineStr">
        <is>
          <t>Manaia Pastures</t>
        </is>
      </c>
      <c r="E5" s="5" t="n">
        <v>350</v>
      </c>
      <c r="F5" s="5" t="n">
        <v>6100</v>
      </c>
      <c r="G5" s="37" t="n">
        <v>4.9</v>
      </c>
      <c r="H5" s="37" t="n">
        <v>3.8</v>
      </c>
      <c r="I5" s="5">
        <f>F5*((G5+H5)/100)</f>
        <v/>
      </c>
      <c r="J5" s="38" t="n">
        <v>9.75</v>
      </c>
      <c r="K5" s="39">
        <f>I5*J5</f>
        <v/>
      </c>
      <c r="L5" s="39">
        <f>K5*15%</f>
        <v/>
      </c>
      <c r="M5" s="39">
        <f>K5+L5</f>
        <v/>
      </c>
      <c r="N5" s="4" t="inlineStr">
        <is>
          <t>Autumn calving prep</t>
        </is>
      </c>
      <c r="O5" s="4">
        <f>IF(I5&gt;=180,"Good",IF(I5&gt;=150,"Monitor","Low"))</f>
        <v/>
      </c>
    </row>
    <row r="6">
      <c r="A6" s="40" t="n">
        <v>46127</v>
      </c>
      <c r="B6" s="10" t="inlineStr">
        <is>
          <t>Liam Holdings - Matamata</t>
        </is>
      </c>
      <c r="C6" s="10" t="inlineStr">
        <is>
          <t>Herd004</t>
        </is>
      </c>
      <c r="D6" s="10" t="inlineStr">
        <is>
          <t>Liam Holdings</t>
        </is>
      </c>
      <c r="E6" s="11" t="n">
        <v>260</v>
      </c>
      <c r="F6" s="11" t="n">
        <v>4700</v>
      </c>
      <c r="G6" s="41" t="n">
        <v>5</v>
      </c>
      <c r="H6" s="41" t="n">
        <v>3.9</v>
      </c>
      <c r="I6" s="11">
        <f>F6*((G6+H6)/100)</f>
        <v/>
      </c>
      <c r="J6" s="38" t="n">
        <v>9.6</v>
      </c>
      <c r="K6" s="42">
        <f>I6*J6</f>
        <v/>
      </c>
      <c r="L6" s="42">
        <f>K6*15%</f>
        <v/>
      </c>
      <c r="M6" s="42">
        <f>K6+L6</f>
        <v/>
      </c>
      <c r="N6" s="10" t="inlineStr">
        <is>
          <t>Drying off some cows</t>
        </is>
      </c>
      <c r="O6" s="10">
        <f>IF(I6&gt;=180,"Good",IF(I6&gt;=150,"Monitor","Low"))</f>
        <v/>
      </c>
    </row>
    <row r="7">
      <c r="A7" s="36" t="n">
        <v>46157</v>
      </c>
      <c r="B7" s="4" t="inlineStr">
        <is>
          <t>Charlotte Dairy - Tauranga</t>
        </is>
      </c>
      <c r="C7" s="4" t="inlineStr">
        <is>
          <t>Herd005</t>
        </is>
      </c>
      <c r="D7" s="4" t="inlineStr">
        <is>
          <t>Charlotte Dairy</t>
        </is>
      </c>
      <c r="E7" s="5" t="n">
        <v>300</v>
      </c>
      <c r="F7" s="5" t="n">
        <v>4300</v>
      </c>
      <c r="G7" s="37" t="n">
        <v>5.1</v>
      </c>
      <c r="H7" s="37" t="n">
        <v>4</v>
      </c>
      <c r="I7" s="5">
        <f>F7*((G7+H7)/100)</f>
        <v/>
      </c>
      <c r="J7" s="38" t="n">
        <v>9.550000000000001</v>
      </c>
      <c r="K7" s="39">
        <f>I7*J7</f>
        <v/>
      </c>
      <c r="L7" s="39">
        <f>K7*15%</f>
        <v/>
      </c>
      <c r="M7" s="39">
        <f>K7+L7</f>
        <v/>
      </c>
      <c r="N7" s="4" t="inlineStr">
        <is>
          <t>Late season</t>
        </is>
      </c>
      <c r="O7" s="4">
        <f>IF(I7&gt;=180,"Good",IF(I7&gt;=150,"Monitor","Low"))</f>
        <v/>
      </c>
    </row>
    <row r="8">
      <c r="A8" s="40" t="n">
        <v>46188</v>
      </c>
      <c r="B8" s="10" t="inlineStr">
        <is>
          <t>Sophie Block - Whakatane</t>
        </is>
      </c>
      <c r="C8" s="10" t="inlineStr">
        <is>
          <t>Herd006</t>
        </is>
      </c>
      <c r="D8" s="10" t="inlineStr">
        <is>
          <t>Sophie Block</t>
        </is>
      </c>
      <c r="E8" s="11" t="n">
        <v>150</v>
      </c>
      <c r="F8" s="11" t="n">
        <v>1800</v>
      </c>
      <c r="G8" s="41" t="n">
        <v>5.3</v>
      </c>
      <c r="H8" s="41" t="n">
        <v>4.1</v>
      </c>
      <c r="I8" s="11">
        <f>F8*((G8+H8)/100)</f>
        <v/>
      </c>
      <c r="J8" s="38" t="n">
        <v>9.5</v>
      </c>
      <c r="K8" s="42">
        <f>I8*J8</f>
        <v/>
      </c>
      <c r="L8" s="42">
        <f>K8*15%</f>
        <v/>
      </c>
      <c r="M8" s="42">
        <f>K8+L8</f>
        <v/>
      </c>
      <c r="N8" s="10" t="inlineStr">
        <is>
          <t>Winter milking - low volume</t>
        </is>
      </c>
      <c r="O8" s="10">
        <f>IF(I8&gt;=180,"Good",IF(I8&gt;=150,"Monitor","Low"))</f>
        <v/>
      </c>
    </row>
    <row r="9">
      <c r="A9" s="36" t="n">
        <v>46218</v>
      </c>
      <c r="B9" s="4" t="inlineStr">
        <is>
          <t>Olivia Farm - Feilding</t>
        </is>
      </c>
      <c r="C9" s="4" t="inlineStr">
        <is>
          <t>Herd007</t>
        </is>
      </c>
      <c r="D9" s="4" t="inlineStr">
        <is>
          <t>Olivia Farm</t>
        </is>
      </c>
      <c r="E9" s="5" t="n">
        <v>100</v>
      </c>
      <c r="F9" s="5" t="n">
        <v>1200</v>
      </c>
      <c r="G9" s="37" t="n">
        <v>5.4</v>
      </c>
      <c r="H9" s="37" t="n">
        <v>4.2</v>
      </c>
      <c r="I9" s="5">
        <f>F9*((G9+H9)/100)</f>
        <v/>
      </c>
      <c r="J9" s="38" t="n">
        <v>9.449999999999999</v>
      </c>
      <c r="K9" s="39">
        <f>I9*J9</f>
        <v/>
      </c>
      <c r="L9" s="39">
        <f>K9*15%</f>
        <v/>
      </c>
      <c r="M9" s="39">
        <f>K9+L9</f>
        <v/>
      </c>
      <c r="N9" s="4" t="inlineStr">
        <is>
          <t>Winter milking</t>
        </is>
      </c>
      <c r="O9" s="4">
        <f>IF(I9&gt;=180,"Good",IF(I9&gt;=150,"Monitor","Low"))</f>
        <v/>
      </c>
    </row>
    <row r="10">
      <c r="A10" s="40" t="n">
        <v>46249</v>
      </c>
      <c r="B10" s="10" t="inlineStr">
        <is>
          <t>Tama Station - Canterbury Plains</t>
        </is>
      </c>
      <c r="C10" s="10" t="inlineStr">
        <is>
          <t>Herd008</t>
        </is>
      </c>
      <c r="D10" s="10" t="inlineStr">
        <is>
          <t>Tama Station</t>
        </is>
      </c>
      <c r="E10" s="11" t="n">
        <v>200</v>
      </c>
      <c r="F10" s="11" t="n">
        <v>2600</v>
      </c>
      <c r="G10" s="41" t="n">
        <v>5</v>
      </c>
      <c r="H10" s="41" t="n">
        <v>3.9</v>
      </c>
      <c r="I10" s="11">
        <f>F10*((G10+H10)/100)</f>
        <v/>
      </c>
      <c r="J10" s="38" t="n">
        <v>9.699999999999999</v>
      </c>
      <c r="K10" s="42">
        <f>I10*J10</f>
        <v/>
      </c>
      <c r="L10" s="42">
        <f>K10*15%</f>
        <v/>
      </c>
      <c r="M10" s="42">
        <f>K10+L10</f>
        <v/>
      </c>
      <c r="N10" s="10" t="inlineStr">
        <is>
          <t>Calving started</t>
        </is>
      </c>
      <c r="O10" s="10">
        <f>IF(I10&gt;=180,"Good",IF(I10&gt;=150,"Monitor","Low"))</f>
        <v/>
      </c>
    </row>
    <row r="11">
      <c r="A11" s="36" t="n">
        <v>46280</v>
      </c>
      <c r="B11" s="4" t="inlineStr">
        <is>
          <t>Aroha Dairy Ltd - Block A</t>
        </is>
      </c>
      <c r="C11" s="4" t="inlineStr">
        <is>
          <t>Herd001</t>
        </is>
      </c>
      <c r="D11" s="4" t="inlineStr">
        <is>
          <t>Aroha Dairy Ltd</t>
        </is>
      </c>
      <c r="E11" s="5" t="n">
        <v>330</v>
      </c>
      <c r="F11" s="5" t="n">
        <v>6300</v>
      </c>
      <c r="G11" s="37" t="n">
        <v>4.7</v>
      </c>
      <c r="H11" s="37" t="n">
        <v>3.7</v>
      </c>
      <c r="I11" s="5">
        <f>F11*((G11+H11)/100)</f>
        <v/>
      </c>
      <c r="J11" s="38" t="n">
        <v>9.949999999999999</v>
      </c>
      <c r="K11" s="39">
        <f>I11*J11</f>
        <v/>
      </c>
      <c r="L11" s="39">
        <f>K11*15%</f>
        <v/>
      </c>
      <c r="M11" s="39">
        <f>K11+L11</f>
        <v/>
      </c>
      <c r="N11" s="4" t="inlineStr">
        <is>
          <t>Spring flush</t>
        </is>
      </c>
      <c r="O11" s="4">
        <f>IF(I11&gt;=180,"Good",IF(I11&gt;=150,"Monitor","Low"))</f>
        <v/>
      </c>
    </row>
    <row r="12">
      <c r="A12" s="14" t="n"/>
      <c r="B12" s="15" t="inlineStr">
        <is>
          <t>TOTALS</t>
        </is>
      </c>
      <c r="C12" s="14" t="n"/>
      <c r="D12" s="14" t="n"/>
      <c r="E12" s="16">
        <f>SUM(E3:E11)</f>
        <v/>
      </c>
      <c r="F12" s="16">
        <f>SUM(F3:F11)</f>
        <v/>
      </c>
      <c r="G12" s="14" t="n"/>
      <c r="H12" s="14" t="n"/>
      <c r="I12" s="16">
        <f>SUM(I3:I11)</f>
        <v/>
      </c>
      <c r="J12" s="14" t="n"/>
      <c r="K12" s="43">
        <f>SUM(K3:K11)</f>
        <v/>
      </c>
      <c r="L12" s="43">
        <f>SUM(L3:L11)</f>
        <v/>
      </c>
      <c r="M12" s="43">
        <f>SUM(M3:M11)</f>
        <v/>
      </c>
      <c r="N12" s="14" t="n"/>
      <c r="O12" s="14" t="n"/>
    </row>
    <row r="13">
      <c r="A13" s="14" t="n"/>
      <c r="B13" s="15" t="inlineStr">
        <is>
          <t>AVERAGES</t>
        </is>
      </c>
      <c r="C13" s="14" t="n"/>
      <c r="D13" s="14" t="n"/>
      <c r="E13" s="14" t="n"/>
      <c r="F13" s="14" t="n"/>
      <c r="G13" s="44">
        <f>AVERAGE(G3:G11)</f>
        <v/>
      </c>
      <c r="H13" s="44">
        <f>AVERAGE(H3:H11)</f>
        <v/>
      </c>
      <c r="I13" s="14" t="n"/>
      <c r="J13" s="43">
        <f>AVERAGE(J3:J11)</f>
        <v/>
      </c>
      <c r="K13" s="14" t="n"/>
      <c r="L13" s="14" t="n"/>
      <c r="M13" s="14" t="n"/>
      <c r="N13" s="14" t="n"/>
      <c r="O13" s="14" t="n"/>
    </row>
  </sheetData>
  <mergeCells count="1">
    <mergeCell ref="A1:O1"/>
  </mergeCells>
  <conditionalFormatting sqref="O3:O11">
    <cfRule type="expression" priority="1" dxfId="0" stopIfTrue="1">
      <formula>O3="Good"</formula>
    </cfRule>
    <cfRule type="expression" priority="2" dxfId="1" stopIfTrue="1">
      <formula>O3="Low"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4" customWidth="1" min="4" max="4"/>
    <col width="15" customWidth="1" min="5" max="5"/>
    <col width="20" customWidth="1" min="6" max="6"/>
    <col width="18" customWidth="1" min="7" max="7"/>
    <col width="14" customWidth="1" min="8" max="8"/>
    <col width="15" customWidth="1" min="9" max="9"/>
    <col width="18" customWidth="1" min="10" max="10"/>
    <col width="12" customWidth="1" min="11" max="11"/>
  </cols>
  <sheetData>
    <row r="1" ht="24" customHeight="1">
      <c r="A1" s="19" t="inlineStr">
        <is>
          <t>Monthly Summary — Milk Solids &amp; Income</t>
        </is>
      </c>
    </row>
    <row r="2"/>
    <row r="3">
      <c r="A3" s="20" t="inlineStr">
        <is>
          <t>Total YTD Milk Solids (kg MS)</t>
        </is>
      </c>
      <c r="B3" s="21">
        <f>SUM(C8:C16)</f>
        <v/>
      </c>
      <c r="C3" s="20" t="inlineStr">
        <is>
          <t>Average Payout Rate ($/kg MS)</t>
        </is>
      </c>
      <c r="D3" s="45">
        <f>AVERAGE(F8:F16)</f>
        <v/>
      </c>
      <c r="E3" s="20" t="inlineStr">
        <is>
          <t>Best Month (kg MS)</t>
        </is>
      </c>
      <c r="F3" s="21">
        <f>MAX(C8:C16)</f>
        <v/>
      </c>
      <c r="G3" s="20" t="inlineStr">
        <is>
          <t>Lowest Month (kg MS)</t>
        </is>
      </c>
      <c r="H3" s="21">
        <f>MIN(C8:C16)</f>
        <v/>
      </c>
    </row>
    <row r="4"/>
    <row r="5"/>
    <row r="6"/>
    <row r="7">
      <c r="A7" s="2" t="inlineStr">
        <is>
          <t>Month</t>
        </is>
      </c>
      <c r="B7" s="2" t="inlineStr">
        <is>
          <t>Total Milk Volume (L)</t>
        </is>
      </c>
      <c r="C7" s="2" t="inlineStr">
        <is>
          <t>Total Milk Solids (kg MS)</t>
        </is>
      </c>
      <c r="D7" s="2" t="inlineStr">
        <is>
          <t>Average Fat %</t>
        </is>
      </c>
      <c r="E7" s="2" t="inlineStr">
        <is>
          <t>Average Protein %</t>
        </is>
      </c>
      <c r="F7" s="2" t="inlineStr">
        <is>
          <t>Average Payout Rate ($/kg MS)</t>
        </is>
      </c>
      <c r="G7" s="2" t="inlineStr">
        <is>
          <t>Gross Milk Income (NZD)</t>
        </is>
      </c>
      <c r="H7" s="2" t="inlineStr">
        <is>
          <t>GST Paid (NZD)</t>
        </is>
      </c>
      <c r="I7" s="2" t="inlineStr">
        <is>
          <t>Net Income (NZD)</t>
        </is>
      </c>
      <c r="J7" s="2" t="inlineStr">
        <is>
          <t>Variance vs Prior Month (%)</t>
        </is>
      </c>
      <c r="K7" s="2" t="inlineStr">
        <is>
          <t>Status</t>
        </is>
      </c>
    </row>
    <row r="8">
      <c r="A8" s="46" t="n">
        <v>46023</v>
      </c>
      <c r="B8" s="5">
        <f>SUMIFS('Milk Solids Log'!F:F,'Milk Solids Log'!A:A,"&gt;="&amp;A8,'Milk Solids Log'!A:A,"&lt;"&amp;EDATE(A8,1))</f>
        <v/>
      </c>
      <c r="C8" s="5">
        <f>SUMIFS('Milk Solids Log'!I:I,'Milk Solids Log'!A:A,"&gt;="&amp;A8,'Milk Solids Log'!A:A,"&lt;"&amp;EDATE(A8,1))</f>
        <v/>
      </c>
      <c r="D8" s="37">
        <f>IFERROR(AVERAGEIFS('Milk Solids Log'!G:G,'Milk Solids Log'!A:A,"&gt;="&amp;A8,'Milk Solids Log'!A:A,"&lt;"&amp;EDATE(A8,1)),0)</f>
        <v/>
      </c>
      <c r="E8" s="37">
        <f>IFERROR(AVERAGEIFS('Milk Solids Log'!H:H,'Milk Solids Log'!A:A,"&gt;="&amp;A8,'Milk Solids Log'!A:A,"&lt;"&amp;EDATE(A8,1)),0)</f>
        <v/>
      </c>
      <c r="F8" s="39">
        <f>IFERROR(AVERAGEIFS('Milk Solids Log'!J:J,'Milk Solids Log'!A:A,"&gt;="&amp;A8,'Milk Solids Log'!A:A,"&lt;"&amp;EDATE(A8,1)),0)</f>
        <v/>
      </c>
      <c r="G8" s="39">
        <f>SUMIFS('Milk Solids Log'!K:K,'Milk Solids Log'!A:A,"&gt;="&amp;A8,'Milk Solids Log'!A:A,"&lt;"&amp;EDATE(A8,1))</f>
        <v/>
      </c>
      <c r="H8" s="39">
        <f>SUMIFS('Milk Solids Log'!L:L,'Milk Solids Log'!A:A,"&gt;="&amp;A8,'Milk Solids Log'!A:A,"&lt;"&amp;EDATE(A8,1))</f>
        <v/>
      </c>
      <c r="I8" s="39">
        <f>SUMIFS('Milk Solids Log'!M:M,'Milk Solids Log'!A:A,"&gt;="&amp;A8,'Milk Solids Log'!A:A,"&lt;"&amp;EDATE(A8,1))</f>
        <v/>
      </c>
      <c r="J8" s="24">
        <f>""</f>
        <v/>
      </c>
      <c r="K8" s="24">
        <f>IF(C8&gt;=450,"Strong",IF(C8&gt;=250,"Average","Review"))</f>
        <v/>
      </c>
    </row>
    <row r="9">
      <c r="A9" s="47" t="n">
        <v>46054</v>
      </c>
      <c r="B9" s="11">
        <f>SUMIFS('Milk Solids Log'!F:F,'Milk Solids Log'!A:A,"&gt;="&amp;A9,'Milk Solids Log'!A:A,"&lt;"&amp;EDATE(A9,1))</f>
        <v/>
      </c>
      <c r="C9" s="11">
        <f>SUMIFS('Milk Solids Log'!I:I,'Milk Solids Log'!A:A,"&gt;="&amp;A9,'Milk Solids Log'!A:A,"&lt;"&amp;EDATE(A9,1))</f>
        <v/>
      </c>
      <c r="D9" s="41">
        <f>IFERROR(AVERAGEIFS('Milk Solids Log'!G:G,'Milk Solids Log'!A:A,"&gt;="&amp;A9,'Milk Solids Log'!A:A,"&lt;"&amp;EDATE(A9,1)),0)</f>
        <v/>
      </c>
      <c r="E9" s="41">
        <f>IFERROR(AVERAGEIFS('Milk Solids Log'!H:H,'Milk Solids Log'!A:A,"&gt;="&amp;A9,'Milk Solids Log'!A:A,"&lt;"&amp;EDATE(A9,1)),0)</f>
        <v/>
      </c>
      <c r="F9" s="42">
        <f>IFERROR(AVERAGEIFS('Milk Solids Log'!J:J,'Milk Solids Log'!A:A,"&gt;="&amp;A9,'Milk Solids Log'!A:A,"&lt;"&amp;EDATE(A9,1)),0)</f>
        <v/>
      </c>
      <c r="G9" s="42">
        <f>SUMIFS('Milk Solids Log'!K:K,'Milk Solids Log'!A:A,"&gt;="&amp;A9,'Milk Solids Log'!A:A,"&lt;"&amp;EDATE(A9,1))</f>
        <v/>
      </c>
      <c r="H9" s="42">
        <f>SUMIFS('Milk Solids Log'!L:L,'Milk Solids Log'!A:A,"&gt;="&amp;A9,'Milk Solids Log'!A:A,"&lt;"&amp;EDATE(A9,1))</f>
        <v/>
      </c>
      <c r="I9" s="42">
        <f>SUMIFS('Milk Solids Log'!M:M,'Milk Solids Log'!A:A,"&gt;="&amp;A9,'Milk Solids Log'!A:A,"&lt;"&amp;EDATE(A9,1))</f>
        <v/>
      </c>
      <c r="J9" s="26">
        <f>IF(C8=0,"",IFERROR((C9-C8)/C8,""))</f>
        <v/>
      </c>
      <c r="K9" s="27">
        <f>IF(C9&gt;=450,"Strong",IF(C9&gt;=250,"Average","Review"))</f>
        <v/>
      </c>
    </row>
    <row r="10">
      <c r="A10" s="46" t="n">
        <v>46082</v>
      </c>
      <c r="B10" s="5">
        <f>SUMIFS('Milk Solids Log'!F:F,'Milk Solids Log'!A:A,"&gt;="&amp;A10,'Milk Solids Log'!A:A,"&lt;"&amp;EDATE(A10,1))</f>
        <v/>
      </c>
      <c r="C10" s="5">
        <f>SUMIFS('Milk Solids Log'!I:I,'Milk Solids Log'!A:A,"&gt;="&amp;A10,'Milk Solids Log'!A:A,"&lt;"&amp;EDATE(A10,1))</f>
        <v/>
      </c>
      <c r="D10" s="37">
        <f>IFERROR(AVERAGEIFS('Milk Solids Log'!G:G,'Milk Solids Log'!A:A,"&gt;="&amp;A10,'Milk Solids Log'!A:A,"&lt;"&amp;EDATE(A10,1)),0)</f>
        <v/>
      </c>
      <c r="E10" s="37">
        <f>IFERROR(AVERAGEIFS('Milk Solids Log'!H:H,'Milk Solids Log'!A:A,"&gt;="&amp;A10,'Milk Solids Log'!A:A,"&lt;"&amp;EDATE(A10,1)),0)</f>
        <v/>
      </c>
      <c r="F10" s="39">
        <f>IFERROR(AVERAGEIFS('Milk Solids Log'!J:J,'Milk Solids Log'!A:A,"&gt;="&amp;A10,'Milk Solids Log'!A:A,"&lt;"&amp;EDATE(A10,1)),0)</f>
        <v/>
      </c>
      <c r="G10" s="39">
        <f>SUMIFS('Milk Solids Log'!K:K,'Milk Solids Log'!A:A,"&gt;="&amp;A10,'Milk Solids Log'!A:A,"&lt;"&amp;EDATE(A10,1))</f>
        <v/>
      </c>
      <c r="H10" s="39">
        <f>SUMIFS('Milk Solids Log'!L:L,'Milk Solids Log'!A:A,"&gt;="&amp;A10,'Milk Solids Log'!A:A,"&lt;"&amp;EDATE(A10,1))</f>
        <v/>
      </c>
      <c r="I10" s="39">
        <f>SUMIFS('Milk Solids Log'!M:M,'Milk Solids Log'!A:A,"&gt;="&amp;A10,'Milk Solids Log'!A:A,"&lt;"&amp;EDATE(A10,1))</f>
        <v/>
      </c>
      <c r="J10" s="28">
        <f>IF(C9=0,"",IFERROR((C10-C9)/C9,""))</f>
        <v/>
      </c>
      <c r="K10" s="24">
        <f>IF(C10&gt;=450,"Strong",IF(C10&gt;=250,"Average","Review"))</f>
        <v/>
      </c>
    </row>
    <row r="11">
      <c r="A11" s="47" t="n">
        <v>46113</v>
      </c>
      <c r="B11" s="11">
        <f>SUMIFS('Milk Solids Log'!F:F,'Milk Solids Log'!A:A,"&gt;="&amp;A11,'Milk Solids Log'!A:A,"&lt;"&amp;EDATE(A11,1))</f>
        <v/>
      </c>
      <c r="C11" s="11">
        <f>SUMIFS('Milk Solids Log'!I:I,'Milk Solids Log'!A:A,"&gt;="&amp;A11,'Milk Solids Log'!A:A,"&lt;"&amp;EDATE(A11,1))</f>
        <v/>
      </c>
      <c r="D11" s="41">
        <f>IFERROR(AVERAGEIFS('Milk Solids Log'!G:G,'Milk Solids Log'!A:A,"&gt;="&amp;A11,'Milk Solids Log'!A:A,"&lt;"&amp;EDATE(A11,1)),0)</f>
        <v/>
      </c>
      <c r="E11" s="41">
        <f>IFERROR(AVERAGEIFS('Milk Solids Log'!H:H,'Milk Solids Log'!A:A,"&gt;="&amp;A11,'Milk Solids Log'!A:A,"&lt;"&amp;EDATE(A11,1)),0)</f>
        <v/>
      </c>
      <c r="F11" s="42">
        <f>IFERROR(AVERAGEIFS('Milk Solids Log'!J:J,'Milk Solids Log'!A:A,"&gt;="&amp;A11,'Milk Solids Log'!A:A,"&lt;"&amp;EDATE(A11,1)),0)</f>
        <v/>
      </c>
      <c r="G11" s="42">
        <f>SUMIFS('Milk Solids Log'!K:K,'Milk Solids Log'!A:A,"&gt;="&amp;A11,'Milk Solids Log'!A:A,"&lt;"&amp;EDATE(A11,1))</f>
        <v/>
      </c>
      <c r="H11" s="42">
        <f>SUMIFS('Milk Solids Log'!L:L,'Milk Solids Log'!A:A,"&gt;="&amp;A11,'Milk Solids Log'!A:A,"&lt;"&amp;EDATE(A11,1))</f>
        <v/>
      </c>
      <c r="I11" s="42">
        <f>SUMIFS('Milk Solids Log'!M:M,'Milk Solids Log'!A:A,"&gt;="&amp;A11,'Milk Solids Log'!A:A,"&lt;"&amp;EDATE(A11,1))</f>
        <v/>
      </c>
      <c r="J11" s="26">
        <f>IF(C10=0,"",IFERROR((C11-C10)/C10,""))</f>
        <v/>
      </c>
      <c r="K11" s="27">
        <f>IF(C11&gt;=450,"Strong",IF(C11&gt;=250,"Average","Review"))</f>
        <v/>
      </c>
    </row>
    <row r="12">
      <c r="A12" s="46" t="n">
        <v>46143</v>
      </c>
      <c r="B12" s="5">
        <f>SUMIFS('Milk Solids Log'!F:F,'Milk Solids Log'!A:A,"&gt;="&amp;A12,'Milk Solids Log'!A:A,"&lt;"&amp;EDATE(A12,1))</f>
        <v/>
      </c>
      <c r="C12" s="5">
        <f>SUMIFS('Milk Solids Log'!I:I,'Milk Solids Log'!A:A,"&gt;="&amp;A12,'Milk Solids Log'!A:A,"&lt;"&amp;EDATE(A12,1))</f>
        <v/>
      </c>
      <c r="D12" s="37">
        <f>IFERROR(AVERAGEIFS('Milk Solids Log'!G:G,'Milk Solids Log'!A:A,"&gt;="&amp;A12,'Milk Solids Log'!A:A,"&lt;"&amp;EDATE(A12,1)),0)</f>
        <v/>
      </c>
      <c r="E12" s="37">
        <f>IFERROR(AVERAGEIFS('Milk Solids Log'!H:H,'Milk Solids Log'!A:A,"&gt;="&amp;A12,'Milk Solids Log'!A:A,"&lt;"&amp;EDATE(A12,1)),0)</f>
        <v/>
      </c>
      <c r="F12" s="39">
        <f>IFERROR(AVERAGEIFS('Milk Solids Log'!J:J,'Milk Solids Log'!A:A,"&gt;="&amp;A12,'Milk Solids Log'!A:A,"&lt;"&amp;EDATE(A12,1)),0)</f>
        <v/>
      </c>
      <c r="G12" s="39">
        <f>SUMIFS('Milk Solids Log'!K:K,'Milk Solids Log'!A:A,"&gt;="&amp;A12,'Milk Solids Log'!A:A,"&lt;"&amp;EDATE(A12,1))</f>
        <v/>
      </c>
      <c r="H12" s="39">
        <f>SUMIFS('Milk Solids Log'!L:L,'Milk Solids Log'!A:A,"&gt;="&amp;A12,'Milk Solids Log'!A:A,"&lt;"&amp;EDATE(A12,1))</f>
        <v/>
      </c>
      <c r="I12" s="39">
        <f>SUMIFS('Milk Solids Log'!M:M,'Milk Solids Log'!A:A,"&gt;="&amp;A12,'Milk Solids Log'!A:A,"&lt;"&amp;EDATE(A12,1))</f>
        <v/>
      </c>
      <c r="J12" s="28">
        <f>IF(C11=0,"",IFERROR((C12-C11)/C11,""))</f>
        <v/>
      </c>
      <c r="K12" s="24">
        <f>IF(C12&gt;=450,"Strong",IF(C12&gt;=250,"Average","Review"))</f>
        <v/>
      </c>
    </row>
    <row r="13">
      <c r="A13" s="47" t="n">
        <v>46174</v>
      </c>
      <c r="B13" s="11">
        <f>SUMIFS('Milk Solids Log'!F:F,'Milk Solids Log'!A:A,"&gt;="&amp;A13,'Milk Solids Log'!A:A,"&lt;"&amp;EDATE(A13,1))</f>
        <v/>
      </c>
      <c r="C13" s="11">
        <f>SUMIFS('Milk Solids Log'!I:I,'Milk Solids Log'!A:A,"&gt;="&amp;A13,'Milk Solids Log'!A:A,"&lt;"&amp;EDATE(A13,1))</f>
        <v/>
      </c>
      <c r="D13" s="41">
        <f>IFERROR(AVERAGEIFS('Milk Solids Log'!G:G,'Milk Solids Log'!A:A,"&gt;="&amp;A13,'Milk Solids Log'!A:A,"&lt;"&amp;EDATE(A13,1)),0)</f>
        <v/>
      </c>
      <c r="E13" s="41">
        <f>IFERROR(AVERAGEIFS('Milk Solids Log'!H:H,'Milk Solids Log'!A:A,"&gt;="&amp;A13,'Milk Solids Log'!A:A,"&lt;"&amp;EDATE(A13,1)),0)</f>
        <v/>
      </c>
      <c r="F13" s="42">
        <f>IFERROR(AVERAGEIFS('Milk Solids Log'!J:J,'Milk Solids Log'!A:A,"&gt;="&amp;A13,'Milk Solids Log'!A:A,"&lt;"&amp;EDATE(A13,1)),0)</f>
        <v/>
      </c>
      <c r="G13" s="42">
        <f>SUMIFS('Milk Solids Log'!K:K,'Milk Solids Log'!A:A,"&gt;="&amp;A13,'Milk Solids Log'!A:A,"&lt;"&amp;EDATE(A13,1))</f>
        <v/>
      </c>
      <c r="H13" s="42">
        <f>SUMIFS('Milk Solids Log'!L:L,'Milk Solids Log'!A:A,"&gt;="&amp;A13,'Milk Solids Log'!A:A,"&lt;"&amp;EDATE(A13,1))</f>
        <v/>
      </c>
      <c r="I13" s="42">
        <f>SUMIFS('Milk Solids Log'!M:M,'Milk Solids Log'!A:A,"&gt;="&amp;A13,'Milk Solids Log'!A:A,"&lt;"&amp;EDATE(A13,1))</f>
        <v/>
      </c>
      <c r="J13" s="26">
        <f>IF(C12=0,"",IFERROR((C13-C12)/C12,""))</f>
        <v/>
      </c>
      <c r="K13" s="27">
        <f>IF(C13&gt;=450,"Strong",IF(C13&gt;=250,"Average","Review"))</f>
        <v/>
      </c>
    </row>
    <row r="14">
      <c r="A14" s="46" t="n">
        <v>46204</v>
      </c>
      <c r="B14" s="5">
        <f>SUMIFS('Milk Solids Log'!F:F,'Milk Solids Log'!A:A,"&gt;="&amp;A14,'Milk Solids Log'!A:A,"&lt;"&amp;EDATE(A14,1))</f>
        <v/>
      </c>
      <c r="C14" s="5">
        <f>SUMIFS('Milk Solids Log'!I:I,'Milk Solids Log'!A:A,"&gt;="&amp;A14,'Milk Solids Log'!A:A,"&lt;"&amp;EDATE(A14,1))</f>
        <v/>
      </c>
      <c r="D14" s="37">
        <f>IFERROR(AVERAGEIFS('Milk Solids Log'!G:G,'Milk Solids Log'!A:A,"&gt;="&amp;A14,'Milk Solids Log'!A:A,"&lt;"&amp;EDATE(A14,1)),0)</f>
        <v/>
      </c>
      <c r="E14" s="37">
        <f>IFERROR(AVERAGEIFS('Milk Solids Log'!H:H,'Milk Solids Log'!A:A,"&gt;="&amp;A14,'Milk Solids Log'!A:A,"&lt;"&amp;EDATE(A14,1)),0)</f>
        <v/>
      </c>
      <c r="F14" s="39">
        <f>IFERROR(AVERAGEIFS('Milk Solids Log'!J:J,'Milk Solids Log'!A:A,"&gt;="&amp;A14,'Milk Solids Log'!A:A,"&lt;"&amp;EDATE(A14,1)),0)</f>
        <v/>
      </c>
      <c r="G14" s="39">
        <f>SUMIFS('Milk Solids Log'!K:K,'Milk Solids Log'!A:A,"&gt;="&amp;A14,'Milk Solids Log'!A:A,"&lt;"&amp;EDATE(A14,1))</f>
        <v/>
      </c>
      <c r="H14" s="39">
        <f>SUMIFS('Milk Solids Log'!L:L,'Milk Solids Log'!A:A,"&gt;="&amp;A14,'Milk Solids Log'!A:A,"&lt;"&amp;EDATE(A14,1))</f>
        <v/>
      </c>
      <c r="I14" s="39">
        <f>SUMIFS('Milk Solids Log'!M:M,'Milk Solids Log'!A:A,"&gt;="&amp;A14,'Milk Solids Log'!A:A,"&lt;"&amp;EDATE(A14,1))</f>
        <v/>
      </c>
      <c r="J14" s="28">
        <f>IF(C13=0,"",IFERROR((C14-C13)/C13,""))</f>
        <v/>
      </c>
      <c r="K14" s="24">
        <f>IF(C14&gt;=450,"Strong",IF(C14&gt;=250,"Average","Review"))</f>
        <v/>
      </c>
    </row>
    <row r="15">
      <c r="A15" s="47" t="n">
        <v>46235</v>
      </c>
      <c r="B15" s="11">
        <f>SUMIFS('Milk Solids Log'!F:F,'Milk Solids Log'!A:A,"&gt;="&amp;A15,'Milk Solids Log'!A:A,"&lt;"&amp;EDATE(A15,1))</f>
        <v/>
      </c>
      <c r="C15" s="11">
        <f>SUMIFS('Milk Solids Log'!I:I,'Milk Solids Log'!A:A,"&gt;="&amp;A15,'Milk Solids Log'!A:A,"&lt;"&amp;EDATE(A15,1))</f>
        <v/>
      </c>
      <c r="D15" s="41">
        <f>IFERROR(AVERAGEIFS('Milk Solids Log'!G:G,'Milk Solids Log'!A:A,"&gt;="&amp;A15,'Milk Solids Log'!A:A,"&lt;"&amp;EDATE(A15,1)),0)</f>
        <v/>
      </c>
      <c r="E15" s="41">
        <f>IFERROR(AVERAGEIFS('Milk Solids Log'!H:H,'Milk Solids Log'!A:A,"&gt;="&amp;A15,'Milk Solids Log'!A:A,"&lt;"&amp;EDATE(A15,1)),0)</f>
        <v/>
      </c>
      <c r="F15" s="42">
        <f>IFERROR(AVERAGEIFS('Milk Solids Log'!J:J,'Milk Solids Log'!A:A,"&gt;="&amp;A15,'Milk Solids Log'!A:A,"&lt;"&amp;EDATE(A15,1)),0)</f>
        <v/>
      </c>
      <c r="G15" s="42">
        <f>SUMIFS('Milk Solids Log'!K:K,'Milk Solids Log'!A:A,"&gt;="&amp;A15,'Milk Solids Log'!A:A,"&lt;"&amp;EDATE(A15,1))</f>
        <v/>
      </c>
      <c r="H15" s="42">
        <f>SUMIFS('Milk Solids Log'!L:L,'Milk Solids Log'!A:A,"&gt;="&amp;A15,'Milk Solids Log'!A:A,"&lt;"&amp;EDATE(A15,1))</f>
        <v/>
      </c>
      <c r="I15" s="42">
        <f>SUMIFS('Milk Solids Log'!M:M,'Milk Solids Log'!A:A,"&gt;="&amp;A15,'Milk Solids Log'!A:A,"&lt;"&amp;EDATE(A15,1))</f>
        <v/>
      </c>
      <c r="J15" s="26">
        <f>IF(C14=0,"",IFERROR((C15-C14)/C14,""))</f>
        <v/>
      </c>
      <c r="K15" s="27">
        <f>IF(C15&gt;=450,"Strong",IF(C15&gt;=250,"Average","Review"))</f>
        <v/>
      </c>
    </row>
    <row r="16">
      <c r="A16" s="46" t="n">
        <v>46266</v>
      </c>
      <c r="B16" s="5">
        <f>SUMIFS('Milk Solids Log'!F:F,'Milk Solids Log'!A:A,"&gt;="&amp;A16,'Milk Solids Log'!A:A,"&lt;"&amp;EDATE(A16,1))</f>
        <v/>
      </c>
      <c r="C16" s="5">
        <f>SUMIFS('Milk Solids Log'!I:I,'Milk Solids Log'!A:A,"&gt;="&amp;A16,'Milk Solids Log'!A:A,"&lt;"&amp;EDATE(A16,1))</f>
        <v/>
      </c>
      <c r="D16" s="37">
        <f>IFERROR(AVERAGEIFS('Milk Solids Log'!G:G,'Milk Solids Log'!A:A,"&gt;="&amp;A16,'Milk Solids Log'!A:A,"&lt;"&amp;EDATE(A16,1)),0)</f>
        <v/>
      </c>
      <c r="E16" s="37">
        <f>IFERROR(AVERAGEIFS('Milk Solids Log'!H:H,'Milk Solids Log'!A:A,"&gt;="&amp;A16,'Milk Solids Log'!A:A,"&lt;"&amp;EDATE(A16,1)),0)</f>
        <v/>
      </c>
      <c r="F16" s="39">
        <f>IFERROR(AVERAGEIFS('Milk Solids Log'!J:J,'Milk Solids Log'!A:A,"&gt;="&amp;A16,'Milk Solids Log'!A:A,"&lt;"&amp;EDATE(A16,1)),0)</f>
        <v/>
      </c>
      <c r="G16" s="39">
        <f>SUMIFS('Milk Solids Log'!K:K,'Milk Solids Log'!A:A,"&gt;="&amp;A16,'Milk Solids Log'!A:A,"&lt;"&amp;EDATE(A16,1))</f>
        <v/>
      </c>
      <c r="H16" s="39">
        <f>SUMIFS('Milk Solids Log'!L:L,'Milk Solids Log'!A:A,"&gt;="&amp;A16,'Milk Solids Log'!A:A,"&lt;"&amp;EDATE(A16,1))</f>
        <v/>
      </c>
      <c r="I16" s="39">
        <f>SUMIFS('Milk Solids Log'!M:M,'Milk Solids Log'!A:A,"&gt;="&amp;A16,'Milk Solids Log'!A:A,"&lt;"&amp;EDATE(A16,1))</f>
        <v/>
      </c>
      <c r="J16" s="28">
        <f>IF(C15=0,"",IFERROR((C16-C15)/C15,""))</f>
        <v/>
      </c>
      <c r="K16" s="24">
        <f>IF(C16&gt;=450,"Strong",IF(C16&gt;=250,"Average","Review"))</f>
        <v/>
      </c>
    </row>
  </sheetData>
  <mergeCells count="1">
    <mergeCell ref="A1:K1"/>
  </mergeCells>
  <conditionalFormatting sqref="K8:K16">
    <cfRule type="expression" priority="1" dxfId="0" stopIfTrue="1">
      <formula>K8="Strong"</formula>
    </cfRule>
    <cfRule type="expression" priority="2" dxfId="1" stopIfTrue="1">
      <formula>K8="Review"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8" customWidth="1" min="4" max="4"/>
    <col width="20" customWidth="1" min="5" max="5"/>
    <col width="14" customWidth="1" min="6" max="6"/>
    <col width="14" customWidth="1" min="7" max="7"/>
    <col width="12" customWidth="1" min="8" max="8"/>
    <col width="10" customWidth="1" min="9" max="9"/>
  </cols>
  <sheetData>
    <row r="1" ht="24" customHeight="1">
      <c r="A1" s="19" t="inlineStr">
        <is>
          <t>Dairy Farm Milk Solids Tracker — Dashboard</t>
        </is>
      </c>
    </row>
    <row r="2"/>
    <row r="3">
      <c r="A3" s="20" t="inlineStr">
        <is>
          <t>YTD Milk Solids (kg MS)</t>
        </is>
      </c>
      <c r="C3" s="20" t="inlineStr">
        <is>
          <t>YTD Gross Milk Income (NZD)</t>
        </is>
      </c>
      <c r="E3" s="20" t="inlineStr">
        <is>
          <t>Average Payout Rate ($/kg MS)</t>
        </is>
      </c>
      <c r="G3" s="20" t="inlineStr">
        <is>
          <t>Highest Milk Solids Month</t>
        </is>
      </c>
      <c r="I3" s="20" t="inlineStr">
        <is>
          <t>Low Quality Count</t>
        </is>
      </c>
    </row>
    <row r="4">
      <c r="A4" s="29">
        <f>'Milk Solids Log'!I11</f>
        <v/>
      </c>
      <c r="C4" s="48">
        <f>'Milk Solids Log'!K11</f>
        <v/>
      </c>
      <c r="E4" s="48">
        <f>'Milk Solids Log'!J12</f>
        <v/>
      </c>
      <c r="G4" s="49">
        <f>IFERROR(INDEX('Monthly Summary'!A8:A16,MATCH(MAX('Monthly Summary'!C8:C16),'Monthly Summary'!C8:C16,0)),"")</f>
        <v/>
      </c>
      <c r="I4" s="29">
        <f>COUNTIF('Milk Solids Log'!O:O,"Low")</f>
        <v/>
      </c>
    </row>
    <row r="5"/>
    <row r="6"/>
    <row r="7">
      <c r="A7" s="20" t="inlineStr">
        <is>
          <t>Last 3 Months Performance</t>
        </is>
      </c>
    </row>
    <row r="8">
      <c r="A8" s="2" t="inlineStr">
        <is>
          <t>Month</t>
        </is>
      </c>
      <c r="B8" s="2" t="inlineStr">
        <is>
          <t>Milk Solids (kg MS)</t>
        </is>
      </c>
      <c r="C8" s="2" t="inlineStr">
        <is>
          <t>Gross Income (NZD)</t>
        </is>
      </c>
      <c r="D8" s="2" t="inlineStr">
        <is>
          <t>Payout Rate ($/kg MS)</t>
        </is>
      </c>
      <c r="E8" s="2" t="inlineStr">
        <is>
          <t>Status</t>
        </is>
      </c>
      <c r="H8" s="2" t="inlineStr">
        <is>
          <t>Quality Flag</t>
        </is>
      </c>
      <c r="I8" s="2" t="inlineStr">
        <is>
          <t>Count</t>
        </is>
      </c>
    </row>
    <row r="9">
      <c r="A9" s="46">
        <f>'Monthly Summary'!A14</f>
        <v/>
      </c>
      <c r="B9" s="5">
        <f>'Monthly Summary'!C14</f>
        <v/>
      </c>
      <c r="C9" s="39">
        <f>'Monthly Summary'!G14</f>
        <v/>
      </c>
      <c r="D9" s="39">
        <f>'Monthly Summary'!F14</f>
        <v/>
      </c>
      <c r="E9" s="24">
        <f>'Monthly Summary'!K14</f>
        <v/>
      </c>
      <c r="H9" s="24" t="inlineStr">
        <is>
          <t>Good</t>
        </is>
      </c>
      <c r="I9" s="24">
        <f>COUNTIF('Milk Solids Log'!O:O,"Good")</f>
        <v/>
      </c>
    </row>
    <row r="10">
      <c r="A10" s="47">
        <f>'Monthly Summary'!A15</f>
        <v/>
      </c>
      <c r="B10" s="11">
        <f>'Monthly Summary'!C15</f>
        <v/>
      </c>
      <c r="C10" s="42">
        <f>'Monthly Summary'!G15</f>
        <v/>
      </c>
      <c r="D10" s="42">
        <f>'Monthly Summary'!F15</f>
        <v/>
      </c>
      <c r="E10" s="27">
        <f>'Monthly Summary'!K15</f>
        <v/>
      </c>
      <c r="H10" s="27" t="inlineStr">
        <is>
          <t>Monitor</t>
        </is>
      </c>
      <c r="I10" s="27">
        <f>COUNTIF('Milk Solids Log'!O:O,"Monitor")</f>
        <v/>
      </c>
    </row>
    <row r="11">
      <c r="A11" s="46">
        <f>'Monthly Summary'!A16</f>
        <v/>
      </c>
      <c r="B11" s="5">
        <f>'Monthly Summary'!C16</f>
        <v/>
      </c>
      <c r="C11" s="39">
        <f>'Monthly Summary'!G16</f>
        <v/>
      </c>
      <c r="D11" s="39">
        <f>'Monthly Summary'!F16</f>
        <v/>
      </c>
      <c r="E11" s="24">
        <f>'Monthly Summary'!K16</f>
        <v/>
      </c>
      <c r="H11" s="24" t="inlineStr">
        <is>
          <t>Low</t>
        </is>
      </c>
      <c r="I11" s="24">
        <f>COUNTIF('Milk Solids Log'!O:O,"Low")</f>
        <v/>
      </c>
    </row>
  </sheetData>
  <mergeCells count="12">
    <mergeCell ref="A1:H1"/>
    <mergeCell ref="A3:B3"/>
    <mergeCell ref="A4:B4"/>
    <mergeCell ref="C3:D3"/>
    <mergeCell ref="C4:D4"/>
    <mergeCell ref="E3:F3"/>
    <mergeCell ref="E4:F4"/>
    <mergeCell ref="G3:H3"/>
    <mergeCell ref="G4:H4"/>
    <mergeCell ref="I3:J3"/>
    <mergeCell ref="I4:J4"/>
    <mergeCell ref="A7:F7"/>
  </mergeCells>
  <conditionalFormatting sqref="E4:E5">
    <cfRule type="expression" priority="1" dxfId="1" stopIfTrue="0">
      <formula>E4&gt;0</formula>
    </cfRule>
  </conditionalFormatting>
  <conditionalFormatting sqref="E9:E11">
    <cfRule type="expression" priority="2" dxfId="0" stopIfTrue="1">
      <formula>E9="Strong"</formula>
    </cfRule>
    <cfRule type="expression" priority="3" dxfId="1" stopIfTrue="1">
      <formula>E9="Review"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4" customHeight="1">
      <c r="A1" s="19" t="inlineStr">
        <is>
          <t>Instructions &amp; Assumptions</t>
        </is>
      </c>
    </row>
    <row r="2"/>
    <row r="3">
      <c r="A3" s="2" t="inlineStr">
        <is>
          <t>Topic</t>
        </is>
      </c>
      <c r="B3" s="2" t="inlineStr">
        <is>
          <t>Guidance</t>
        </is>
      </c>
    </row>
    <row r="4" ht="30" customHeight="1">
      <c r="A4" s="32" t="inlineStr">
        <is>
          <t>Milk Solids Log</t>
        </is>
      </c>
      <c r="B4" s="33" t="inlineStr">
        <is>
          <t>Enter one row per milk collection or milking day. Include farm/block, herd ID, supplier name, herd count, volume and lab results.</t>
        </is>
      </c>
    </row>
    <row r="5" ht="30" customHeight="1">
      <c r="A5" s="34" t="inlineStr">
        <is>
          <t>Dates</t>
        </is>
      </c>
      <c r="B5" s="35" t="inlineStr">
        <is>
          <t>All dates must be entered in DD/MM/YYYY format, the New Zealand standard.</t>
        </is>
      </c>
    </row>
    <row r="6" ht="30" customHeight="1">
      <c r="A6" s="32" t="inlineStr">
        <is>
          <t>Currency</t>
        </is>
      </c>
      <c r="B6" s="33" t="inlineStr">
        <is>
          <t>All monetary values are in New Zealand dollars (NZD), formatted as $#,##0.00.</t>
        </is>
      </c>
    </row>
    <row r="7" ht="30" customHeight="1">
      <c r="A7" s="34" t="inlineStr">
        <is>
          <t>Milk Solids Formula</t>
        </is>
      </c>
      <c r="B7" s="35" t="inlineStr">
        <is>
          <t>Milk Solids (kg MS) uses a simplified percentage conversion: Volume x ((Fat% + Protein%)/100). Adjust if your dairy company uses a different weighting.</t>
        </is>
      </c>
    </row>
    <row r="8" ht="30" customHeight="1">
      <c r="A8" s="32" t="inlineStr">
        <is>
          <t>GST</t>
        </is>
      </c>
      <c r="B8" s="33" t="inlineStr">
        <is>
          <t>GST is calculated at the current rate of 15% on gross milk income.</t>
        </is>
      </c>
    </row>
    <row r="9" ht="30" customHeight="1">
      <c r="A9" s="34" t="inlineStr">
        <is>
          <t>Record Keeping</t>
        </is>
      </c>
      <c r="B9" s="35" t="inlineStr">
        <is>
          <t>Keep milk solids and income records for at least 7 years to meet Inland Revenue (IRD) requirements.</t>
        </is>
      </c>
    </row>
    <row r="10" ht="30" customHeight="1">
      <c r="A10" s="32" t="inlineStr">
        <is>
          <t>Payout Rates</t>
        </is>
      </c>
      <c r="B10" s="33" t="inlineStr">
        <is>
          <t>Update the Milk Payout Rate ($/kg MS) column whenever your supplying company issues a new payment schedule.</t>
        </is>
      </c>
    </row>
    <row r="11" ht="30" customHeight="1">
      <c r="A11" s="34" t="inlineStr">
        <is>
          <t>Quality Flag</t>
        </is>
      </c>
      <c r="B11" s="35" t="inlineStr">
        <is>
          <t>Good = kg MS at or above 180; Monitor = between 150 and 180; Low = below 150. Investigate any Low flags promptly.</t>
        </is>
      </c>
    </row>
    <row r="12" ht="30" customHeight="1">
      <c r="A12" s="32" t="inlineStr">
        <is>
          <t>Monthly Summary</t>
        </is>
      </c>
      <c r="B12" s="33" t="inlineStr">
        <is>
          <t>This sheet automatically consolidates the Milk Solids Log using SUMIFS and AVERAGEIFS formulas — no manual entry required.</t>
        </is>
      </c>
    </row>
    <row r="13" ht="30" customHeight="1">
      <c r="A13" s="34" t="inlineStr">
        <is>
          <t>Dashboard</t>
        </is>
      </c>
      <c r="B13" s="35" t="inlineStr">
        <is>
          <t>Use the Dashboard for a quick executive view of YTD performance, recent months and quality trends. Green figures are positive/strong; red figures indicate alerts requiring review.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2026-07-01T23:23:32Z</dcterms:created>
  <dcterms:modified xmlns:dcterms="http://purl.org/dc/terms/" xmlns:xsi="http://www.w3.org/2001/XMLSchema-instance" xsi:type="dcterms:W3CDTF">2026-07-01T23:23:32Z</dcterms:modified>
</cp:coreProperties>
</file>