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ages Tracker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b val="1"/>
      <color rgb="00FFFFFF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CCFBF1"/>
      </patternFill>
    </fill>
    <fill>
      <patternFill patternType="solid">
        <fgColor rgb="00FFFBE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5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5" fillId="0" borderId="1" pivotButton="0" quotePrefix="0" xfId="0"/>
    <xf numFmtId="164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165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165" fontId="0" fillId="7" borderId="1" pivotButton="0" quotePrefix="0" xfId="0"/>
    <xf numFmtId="164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6" fillId="5" borderId="1" pivotButton="0" quotePrefix="0" xfId="0"/>
    <xf numFmtId="0" fontId="5" fillId="6" borderId="1" pivotButton="0" quotePrefix="0" xfId="0"/>
    <xf numFmtId="165" fontId="5" fillId="6" borderId="1" pivotButton="0" quotePrefix="0" xfId="0"/>
    <xf numFmtId="0" fontId="1" fillId="0" borderId="0" pivotButton="0" quotePrefix="0" xfId="0"/>
    <xf numFmtId="0" fontId="5" fillId="3" borderId="1" pivotButton="0" quotePrefix="0" xfId="0"/>
    <xf numFmtId="0" fontId="4" fillId="3" borderId="1" pivotButton="0" quotePrefix="0" xfId="0"/>
    <xf numFmtId="0" fontId="3" fillId="2" borderId="1" pivotButton="0" quotePrefix="0" xfId="0"/>
    <xf numFmtId="0" fontId="5" fillId="4" borderId="1" pivotButton="0" quotePrefix="0" xfId="0"/>
    <xf numFmtId="165" fontId="4" fillId="4" borderId="1" pivotButton="0" quotePrefix="0" xfId="0"/>
    <xf numFmtId="164" fontId="0" fillId="3" borderId="1" pivotButton="0" quotePrefix="0" xfId="0"/>
    <xf numFmtId="165" fontId="0" fillId="3" borderId="1" pivotButton="0" quotePrefix="0" xfId="0"/>
    <xf numFmtId="164" fontId="0" fillId="4" borderId="1" pivotButton="0" quotePrefix="0" xfId="0"/>
    <xf numFmtId="165" fontId="0" fillId="4" borderId="1" pivotButton="0" quotePrefix="0" xfId="0"/>
    <xf numFmtId="165" fontId="4" fillId="3" borderId="1" pivotButton="0" quotePrefix="0" xfId="0"/>
    <xf numFmtId="0" fontId="4" fillId="0" borderId="1" pivotButton="0" quotePrefix="0" xfId="0"/>
    <xf numFmtId="0" fontId="4" fillId="0" borderId="0" applyAlignment="1" pivotButton="0" quotePrefix="0" xfId="0">
      <alignment vertical="top" wrapText="1"/>
    </xf>
    <xf numFmtId="0" fontId="5" fillId="6" borderId="0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  <dxf>
      <font>
        <b val="1"/>
        <color rgb="00CA8A04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Gross Pay by Picker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'Dashboard'!F4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'Dashboard'!$D$5:$D$10</f>
            </numRef>
          </cat>
          <val>
            <numRef>
              <f>'Dashboard'!$F$5:$F$10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Picker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NZD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Rate Type Distribution</a:t>
            </a:r>
          </a:p>
        </rich>
      </tx>
    </title>
    <plotArea>
      <pieChart>
        <varyColors val="1"/>
        <ser>
          <idx val="0"/>
          <order val="0"/>
          <tx>
            <strRef>
              <f>'Dashboard'!E13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'Dashboard'!$D$14:$D$15</f>
            </numRef>
          </cat>
          <val>
            <numRef>
              <f>'Dashboard'!$E$14:$E$15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Daily Gross Pay Trend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'Dashboard'!J4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'Dashboard'!$I$5:$I$9</f>
            </numRef>
          </cat>
          <val>
            <numRef>
              <f>'Dashboard'!$J$5:$J$9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NZD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54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17</row>
      <rowOff>0</rowOff>
    </from>
    <ext cx="36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30</row>
      <rowOff>0</rowOff>
    </from>
    <ext cx="540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24" customWidth="1" min="3" max="3"/>
    <col width="16" customWidth="1" min="4" max="4"/>
    <col width="12" customWidth="1" min="5" max="5"/>
    <col width="12" customWidth="1" min="6" max="6"/>
    <col width="11" customWidth="1" min="7" max="7"/>
    <col width="13" customWidth="1" min="8" max="8"/>
    <col width="13" customWidth="1" min="9" max="9"/>
    <col width="14" customWidth="1" min="10" max="10"/>
    <col width="12" customWidth="1" min="11" max="11"/>
    <col width="12" customWidth="1" min="12" max="12"/>
    <col width="14" customWidth="1" min="13" max="13"/>
    <col width="14" customWidth="1" min="14" max="14"/>
    <col width="20" customWidth="1" min="16" max="16"/>
    <col width="13" customWidth="1" min="17" max="17"/>
  </cols>
  <sheetData>
    <row r="1" ht="24" customHeight="1">
      <c r="A1" s="1" t="inlineStr">
        <is>
          <t>Grape Picking Wages Tracker - Marlborough Vineyards 2026</t>
        </is>
      </c>
    </row>
    <row r="2">
      <c r="A2" s="2" t="inlineStr">
        <is>
          <t>Season: Feb - Apr 2026 | All amounts in NZD</t>
        </is>
      </c>
      <c r="P2" s="3" t="inlineStr">
        <is>
          <t>Rate Reference Tables</t>
        </is>
      </c>
    </row>
    <row r="3">
      <c r="A3" s="4" t="inlineStr">
        <is>
          <t>Date</t>
        </is>
      </c>
      <c r="B3" s="4" t="inlineStr">
        <is>
          <t>Picker Name</t>
        </is>
      </c>
      <c r="C3" s="4" t="inlineStr">
        <is>
          <t>Vineyard Block</t>
        </is>
      </c>
      <c r="D3" s="4" t="inlineStr">
        <is>
          <t>Experience Level</t>
        </is>
      </c>
      <c r="E3" s="4" t="inlineStr">
        <is>
          <t>Rate Type</t>
        </is>
      </c>
      <c r="F3" s="4" t="inlineStr">
        <is>
          <t>Hours Worked</t>
        </is>
      </c>
      <c r="G3" s="4" t="inlineStr">
        <is>
          <t>Bins Picked</t>
        </is>
      </c>
      <c r="H3" s="4" t="inlineStr">
        <is>
          <t>Hourly Rate ($)</t>
        </is>
      </c>
      <c r="I3" s="4" t="inlineStr">
        <is>
          <t>Gross Pay ($)</t>
        </is>
      </c>
      <c r="J3" s="4" t="inlineStr">
        <is>
          <t>KiwiSaver 3% ($)</t>
        </is>
      </c>
      <c r="K3" s="4" t="inlineStr">
        <is>
          <t>PAYE Est. ($)</t>
        </is>
      </c>
      <c r="L3" s="4" t="inlineStr">
        <is>
          <t>Net Pay ($)</t>
        </is>
      </c>
      <c r="M3" s="4" t="inlineStr">
        <is>
          <t>Effective $/Hour</t>
        </is>
      </c>
      <c r="N3" s="4" t="inlineStr">
        <is>
          <t>Payment Status</t>
        </is>
      </c>
      <c r="P3" s="5" t="inlineStr">
        <is>
          <t>Experience Level</t>
        </is>
      </c>
      <c r="Q3" s="5" t="inlineStr">
        <is>
          <t>Hourly Rate</t>
        </is>
      </c>
    </row>
    <row r="4">
      <c r="A4" s="6" t="inlineStr">
        <is>
          <t>10/03/2026</t>
        </is>
      </c>
      <c r="B4" s="7" t="inlineStr">
        <is>
          <t>Aroha Ngata</t>
        </is>
      </c>
      <c r="C4" s="7" t="inlineStr">
        <is>
          <t>Block A - Sauvignon Blanc</t>
        </is>
      </c>
      <c r="D4" s="8" t="inlineStr">
        <is>
          <t>Experienced</t>
        </is>
      </c>
      <c r="E4" s="8" t="inlineStr">
        <is>
          <t>Hourly</t>
        </is>
      </c>
      <c r="F4" s="8" t="n">
        <v>8</v>
      </c>
      <c r="G4" s="8" t="n">
        <v>0</v>
      </c>
      <c r="H4" s="9">
        <f>IFERROR(VLOOKUP(D4,$P$4:$Q$6,2,FALSE),0)</f>
        <v/>
      </c>
      <c r="I4" s="9">
        <f>IF(E4="Hourly",F4*H4,G4*$Q$8)</f>
        <v/>
      </c>
      <c r="J4" s="9">
        <f>I4*0.03</f>
        <v/>
      </c>
      <c r="K4" s="9">
        <f>I4*0.115</f>
        <v/>
      </c>
      <c r="L4" s="9">
        <f>I4-J4-K4</f>
        <v/>
      </c>
      <c r="M4" s="9">
        <f>IFERROR(I4/F4,0)</f>
        <v/>
      </c>
      <c r="N4" s="8" t="inlineStr">
        <is>
          <t>Paid</t>
        </is>
      </c>
      <c r="P4" s="10" t="inlineStr">
        <is>
          <t>Beginner</t>
        </is>
      </c>
      <c r="Q4" s="11" t="n">
        <v>23.5</v>
      </c>
    </row>
    <row r="5">
      <c r="A5" s="12" t="inlineStr">
        <is>
          <t>10/03/2026</t>
        </is>
      </c>
      <c r="B5" s="13" t="inlineStr">
        <is>
          <t>Liam Thompson</t>
        </is>
      </c>
      <c r="C5" s="13" t="inlineStr">
        <is>
          <t>Block B - Pinot Noir</t>
        </is>
      </c>
      <c r="D5" s="14" t="inlineStr">
        <is>
          <t>Beginner</t>
        </is>
      </c>
      <c r="E5" s="14" t="inlineStr">
        <is>
          <t>Piece Rate</t>
        </is>
      </c>
      <c r="F5" s="14" t="n">
        <v>7.5</v>
      </c>
      <c r="G5" s="14" t="n">
        <v>45</v>
      </c>
      <c r="H5" s="15">
        <f>IFERROR(VLOOKUP(D5,$P$4:$Q$6,2,FALSE),0)</f>
        <v/>
      </c>
      <c r="I5" s="15">
        <f>IF(E5="Hourly",F5*H5,G5*$Q$8)</f>
        <v/>
      </c>
      <c r="J5" s="15">
        <f>I5*0.03</f>
        <v/>
      </c>
      <c r="K5" s="15">
        <f>I5*0.115</f>
        <v/>
      </c>
      <c r="L5" s="15">
        <f>I5-J5-K5</f>
        <v/>
      </c>
      <c r="M5" s="15">
        <f>IFERROR(I5/F5,0)</f>
        <v/>
      </c>
      <c r="N5" s="14" t="inlineStr">
        <is>
          <t>Paid</t>
        </is>
      </c>
      <c r="P5" s="10" t="inlineStr">
        <is>
          <t>Experienced</t>
        </is>
      </c>
      <c r="Q5" s="11" t="n">
        <v>26</v>
      </c>
    </row>
    <row r="6">
      <c r="A6" s="6" t="inlineStr">
        <is>
          <t>11/03/2026</t>
        </is>
      </c>
      <c r="B6" s="7" t="inlineStr">
        <is>
          <t>Charlotte Reid</t>
        </is>
      </c>
      <c r="C6" s="7" t="inlineStr">
        <is>
          <t>Block A - Sauvignon Blanc</t>
        </is>
      </c>
      <c r="D6" s="8" t="inlineStr">
        <is>
          <t>Supervisor</t>
        </is>
      </c>
      <c r="E6" s="8" t="inlineStr">
        <is>
          <t>Hourly</t>
        </is>
      </c>
      <c r="F6" s="8" t="n">
        <v>8</v>
      </c>
      <c r="G6" s="8" t="n">
        <v>0</v>
      </c>
      <c r="H6" s="9">
        <f>IFERROR(VLOOKUP(D6,$P$4:$Q$6,2,FALSE),0)</f>
        <v/>
      </c>
      <c r="I6" s="9">
        <f>IF(E6="Hourly",F6*H6,G6*$Q$8)</f>
        <v/>
      </c>
      <c r="J6" s="9">
        <f>I6*0.03</f>
        <v/>
      </c>
      <c r="K6" s="9">
        <f>I6*0.115</f>
        <v/>
      </c>
      <c r="L6" s="9">
        <f>I6-J6-K6</f>
        <v/>
      </c>
      <c r="M6" s="9">
        <f>IFERROR(I6/F6,0)</f>
        <v/>
      </c>
      <c r="N6" s="8" t="inlineStr">
        <is>
          <t>Paid</t>
        </is>
      </c>
      <c r="P6" s="10" t="inlineStr">
        <is>
          <t>Supervisor</t>
        </is>
      </c>
      <c r="Q6" s="11" t="n">
        <v>29.5</v>
      </c>
    </row>
    <row r="7">
      <c r="A7" s="12" t="inlineStr">
        <is>
          <t>11/03/2026</t>
        </is>
      </c>
      <c r="B7" s="13" t="inlineStr">
        <is>
          <t>Manaia Walker</t>
        </is>
      </c>
      <c r="C7" s="13" t="inlineStr">
        <is>
          <t>Block C - Chardonnay</t>
        </is>
      </c>
      <c r="D7" s="14" t="inlineStr">
        <is>
          <t>Experienced</t>
        </is>
      </c>
      <c r="E7" s="14" t="inlineStr">
        <is>
          <t>Piece Rate</t>
        </is>
      </c>
      <c r="F7" s="14" t="n">
        <v>8</v>
      </c>
      <c r="G7" s="14" t="n">
        <v>52</v>
      </c>
      <c r="H7" s="15">
        <f>IFERROR(VLOOKUP(D7,$P$4:$Q$6,2,FALSE),0)</f>
        <v/>
      </c>
      <c r="I7" s="15">
        <f>IF(E7="Hourly",F7*H7,G7*$Q$8)</f>
        <v/>
      </c>
      <c r="J7" s="15">
        <f>I7*0.03</f>
        <v/>
      </c>
      <c r="K7" s="15">
        <f>I7*0.115</f>
        <v/>
      </c>
      <c r="L7" s="15">
        <f>I7-J7-K7</f>
        <v/>
      </c>
      <c r="M7" s="15">
        <f>IFERROR(I7/F7,0)</f>
        <v/>
      </c>
      <c r="N7" s="14" t="inlineStr">
        <is>
          <t>Paid</t>
        </is>
      </c>
    </row>
    <row r="8">
      <c r="A8" s="6" t="inlineStr">
        <is>
          <t>12/03/2026</t>
        </is>
      </c>
      <c r="B8" s="7" t="inlineStr">
        <is>
          <t>Sophie Anderson</t>
        </is>
      </c>
      <c r="C8" s="7" t="inlineStr">
        <is>
          <t>Block B - Pinot Noir</t>
        </is>
      </c>
      <c r="D8" s="8" t="inlineStr">
        <is>
          <t>Beginner</t>
        </is>
      </c>
      <c r="E8" s="8" t="inlineStr">
        <is>
          <t>Hourly</t>
        </is>
      </c>
      <c r="F8" s="8" t="n">
        <v>6.5</v>
      </c>
      <c r="G8" s="8" t="n">
        <v>0</v>
      </c>
      <c r="H8" s="9">
        <f>IFERROR(VLOOKUP(D8,$P$4:$Q$6,2,FALSE),0)</f>
        <v/>
      </c>
      <c r="I8" s="9">
        <f>IF(E8="Hourly",F8*H8,G8*$Q$8)</f>
        <v/>
      </c>
      <c r="J8" s="9">
        <f>I8*0.03</f>
        <v/>
      </c>
      <c r="K8" s="9">
        <f>I8*0.115</f>
        <v/>
      </c>
      <c r="L8" s="9">
        <f>I8-J8-K8</f>
        <v/>
      </c>
      <c r="M8" s="9">
        <f>IFERROR(I8/F8,0)</f>
        <v/>
      </c>
      <c r="N8" s="8" t="inlineStr">
        <is>
          <t>Paid</t>
        </is>
      </c>
      <c r="P8" s="5" t="inlineStr">
        <is>
          <t>Piece Rate per Bin ($)</t>
        </is>
      </c>
      <c r="Q8" s="11" t="n">
        <v>8.5</v>
      </c>
    </row>
    <row r="9">
      <c r="A9" s="12" t="inlineStr">
        <is>
          <t>12/03/2026</t>
        </is>
      </c>
      <c r="B9" s="13" t="inlineStr">
        <is>
          <t>Hemi Rangi</t>
        </is>
      </c>
      <c r="C9" s="13" t="inlineStr">
        <is>
          <t>Block C - Chardonnay</t>
        </is>
      </c>
      <c r="D9" s="14" t="inlineStr">
        <is>
          <t>Experienced</t>
        </is>
      </c>
      <c r="E9" s="14" t="inlineStr">
        <is>
          <t>Piece Rate</t>
        </is>
      </c>
      <c r="F9" s="14" t="n">
        <v>8</v>
      </c>
      <c r="G9" s="14" t="n">
        <v>48</v>
      </c>
      <c r="H9" s="15">
        <f>IFERROR(VLOOKUP(D9,$P$4:$Q$6,2,FALSE),0)</f>
        <v/>
      </c>
      <c r="I9" s="15">
        <f>IF(E9="Hourly",F9*H9,G9*$Q$8)</f>
        <v/>
      </c>
      <c r="J9" s="15">
        <f>I9*0.03</f>
        <v/>
      </c>
      <c r="K9" s="15">
        <f>I9*0.115</f>
        <v/>
      </c>
      <c r="L9" s="15">
        <f>I9-J9-K9</f>
        <v/>
      </c>
      <c r="M9" s="15">
        <f>IFERROR(I9/F9,0)</f>
        <v/>
      </c>
      <c r="N9" s="14" t="inlineStr">
        <is>
          <t>Paid</t>
        </is>
      </c>
      <c r="P9" s="5" t="inlineStr">
        <is>
          <t>Minimum Wage ($/hr)</t>
        </is>
      </c>
      <c r="Q9" s="11" t="n">
        <v>23.15</v>
      </c>
    </row>
    <row r="10">
      <c r="A10" s="6" t="inlineStr">
        <is>
          <t>13/03/2026</t>
        </is>
      </c>
      <c r="B10" s="7" t="inlineStr">
        <is>
          <t>Aroha Ngata</t>
        </is>
      </c>
      <c r="C10" s="7" t="inlineStr">
        <is>
          <t>Block A - Sauvignon Blanc</t>
        </is>
      </c>
      <c r="D10" s="8" t="inlineStr">
        <is>
          <t>Experienced</t>
        </is>
      </c>
      <c r="E10" s="8" t="inlineStr">
        <is>
          <t>Hourly</t>
        </is>
      </c>
      <c r="F10" s="8" t="n">
        <v>8</v>
      </c>
      <c r="G10" s="8" t="n">
        <v>0</v>
      </c>
      <c r="H10" s="9">
        <f>IFERROR(VLOOKUP(D10,$P$4:$Q$6,2,FALSE),0)</f>
        <v/>
      </c>
      <c r="I10" s="9">
        <f>IF(E10="Hourly",F10*H10,G10*$Q$8)</f>
        <v/>
      </c>
      <c r="J10" s="9">
        <f>I10*0.03</f>
        <v/>
      </c>
      <c r="K10" s="9">
        <f>I10*0.115</f>
        <v/>
      </c>
      <c r="L10" s="9">
        <f>I10-J10-K10</f>
        <v/>
      </c>
      <c r="M10" s="9">
        <f>IFERROR(I10/F10,0)</f>
        <v/>
      </c>
      <c r="N10" s="8" t="inlineStr">
        <is>
          <t>Pending</t>
        </is>
      </c>
    </row>
    <row r="11">
      <c r="A11" s="12" t="inlineStr">
        <is>
          <t>13/03/2026</t>
        </is>
      </c>
      <c r="B11" s="13" t="inlineStr">
        <is>
          <t>Liam Thompson</t>
        </is>
      </c>
      <c r="C11" s="13" t="inlineStr">
        <is>
          <t>Block B - Pinot Noir</t>
        </is>
      </c>
      <c r="D11" s="14" t="inlineStr">
        <is>
          <t>Beginner</t>
        </is>
      </c>
      <c r="E11" s="14" t="inlineStr">
        <is>
          <t>Piece Rate</t>
        </is>
      </c>
      <c r="F11" s="14" t="n">
        <v>7</v>
      </c>
      <c r="G11" s="14" t="n">
        <v>41</v>
      </c>
      <c r="H11" s="15">
        <f>IFERROR(VLOOKUP(D11,$P$4:$Q$6,2,FALSE),0)</f>
        <v/>
      </c>
      <c r="I11" s="15">
        <f>IF(E11="Hourly",F11*H11,G11*$Q$8)</f>
        <v/>
      </c>
      <c r="J11" s="15">
        <f>I11*0.03</f>
        <v/>
      </c>
      <c r="K11" s="15">
        <f>I11*0.115</f>
        <v/>
      </c>
      <c r="L11" s="15">
        <f>I11-J11-K11</f>
        <v/>
      </c>
      <c r="M11" s="15">
        <f>IFERROR(I11/F11,0)</f>
        <v/>
      </c>
      <c r="N11" s="14" t="inlineStr">
        <is>
          <t>Pending</t>
        </is>
      </c>
      <c r="P11" s="5" t="inlineStr">
        <is>
          <t>Pickers Paid</t>
        </is>
      </c>
      <c r="Q11" s="10">
        <f>COUNTIF(N4:N13,"Paid")</f>
        <v/>
      </c>
    </row>
    <row r="12">
      <c r="A12" s="6" t="inlineStr">
        <is>
          <t>14/03/2026</t>
        </is>
      </c>
      <c r="B12" s="7" t="inlineStr">
        <is>
          <t>Charlotte Reid</t>
        </is>
      </c>
      <c r="C12" s="7" t="inlineStr">
        <is>
          <t>Block A - Sauvignon Blanc</t>
        </is>
      </c>
      <c r="D12" s="8" t="inlineStr">
        <is>
          <t>Supervisor</t>
        </is>
      </c>
      <c r="E12" s="8" t="inlineStr">
        <is>
          <t>Hourly</t>
        </is>
      </c>
      <c r="F12" s="8" t="n">
        <v>7.5</v>
      </c>
      <c r="G12" s="8" t="n">
        <v>0</v>
      </c>
      <c r="H12" s="9">
        <f>IFERROR(VLOOKUP(D12,$P$4:$Q$6,2,FALSE),0)</f>
        <v/>
      </c>
      <c r="I12" s="9">
        <f>IF(E12="Hourly",F12*H12,G12*$Q$8)</f>
        <v/>
      </c>
      <c r="J12" s="9">
        <f>I12*0.03</f>
        <v/>
      </c>
      <c r="K12" s="9">
        <f>I12*0.115</f>
        <v/>
      </c>
      <c r="L12" s="9">
        <f>I12-J12-K12</f>
        <v/>
      </c>
      <c r="M12" s="9">
        <f>IFERROR(I12/F12,0)</f>
        <v/>
      </c>
      <c r="N12" s="8" t="inlineStr">
        <is>
          <t>Pending</t>
        </is>
      </c>
      <c r="P12" s="5" t="inlineStr">
        <is>
          <t>Pickers Pending</t>
        </is>
      </c>
      <c r="Q12" s="10">
        <f>COUNTIF(N4:N13,"Pending")</f>
        <v/>
      </c>
    </row>
    <row r="13">
      <c r="A13" s="12" t="inlineStr">
        <is>
          <t>14/03/2026</t>
        </is>
      </c>
      <c r="B13" s="13" t="inlineStr">
        <is>
          <t>Manaia Walker</t>
        </is>
      </c>
      <c r="C13" s="13" t="inlineStr">
        <is>
          <t>Block C - Chardonnay</t>
        </is>
      </c>
      <c r="D13" s="14" t="inlineStr">
        <is>
          <t>Experienced</t>
        </is>
      </c>
      <c r="E13" s="14" t="inlineStr">
        <is>
          <t>Piece Rate</t>
        </is>
      </c>
      <c r="F13" s="14" t="n">
        <v>8</v>
      </c>
      <c r="G13" s="14" t="n">
        <v>55</v>
      </c>
      <c r="H13" s="15">
        <f>IFERROR(VLOOKUP(D13,$P$4:$Q$6,2,FALSE),0)</f>
        <v/>
      </c>
      <c r="I13" s="15">
        <f>IF(E13="Hourly",F13*H13,G13*$Q$8)</f>
        <v/>
      </c>
      <c r="J13" s="15">
        <f>I13*0.03</f>
        <v/>
      </c>
      <c r="K13" s="15">
        <f>I13*0.115</f>
        <v/>
      </c>
      <c r="L13" s="15">
        <f>I13-J13-K13</f>
        <v/>
      </c>
      <c r="M13" s="15">
        <f>IFERROR(I13/F13,0)</f>
        <v/>
      </c>
      <c r="N13" s="14" t="inlineStr">
        <is>
          <t>Pending</t>
        </is>
      </c>
    </row>
    <row r="14">
      <c r="A14" s="16" t="inlineStr">
        <is>
          <t>TOTAL / AVERAGE</t>
        </is>
      </c>
      <c r="B14" s="34" t="n"/>
      <c r="C14" s="34" t="n"/>
      <c r="D14" s="34" t="n"/>
      <c r="E14" s="35" t="n"/>
      <c r="F14" s="18">
        <f>SUM(F4:F13)</f>
        <v/>
      </c>
      <c r="G14" s="18">
        <f>SUM(G4:G13)</f>
        <v/>
      </c>
      <c r="H14" s="18" t="inlineStr"/>
      <c r="I14" s="19">
        <f>SUM(I4:I13)</f>
        <v/>
      </c>
      <c r="J14" s="19">
        <f>SUM(J4:J13)</f>
        <v/>
      </c>
      <c r="K14" s="19">
        <f>SUM(K4:K13)</f>
        <v/>
      </c>
      <c r="L14" s="19">
        <f>SUM(L4:L13)</f>
        <v/>
      </c>
      <c r="M14" s="19">
        <f>IFERROR(AVERAGE(M4:M13),0)</f>
        <v/>
      </c>
      <c r="N14" s="18" t="inlineStr"/>
    </row>
  </sheetData>
  <mergeCells count="3">
    <mergeCell ref="A1:N1"/>
    <mergeCell ref="A14:E14"/>
    <mergeCell ref="P2:Q2"/>
  </mergeCells>
  <conditionalFormatting sqref="M4:M13">
    <cfRule type="expression" priority="1" dxfId="0" stopIfTrue="1">
      <formula>M4&lt;$Q$9</formula>
    </cfRule>
  </conditionalFormatting>
  <conditionalFormatting sqref="N4:N13">
    <cfRule type="expression" priority="2" dxfId="1" stopIfTrue="1">
      <formula>N4="Paid"</formula>
    </cfRule>
    <cfRule type="expression" priority="3" dxfId="2" stopIfTrue="1">
      <formula>N4="Pending"</formula>
    </cfRule>
  </conditionalFormatting>
  <dataValidations count="3">
    <dataValidation sqref="D4:D13" showErrorMessage="1" showInputMessage="1" allowBlank="0" type="list">
      <formula1>"Beginner,Experienced,Supervisor"</formula1>
    </dataValidation>
    <dataValidation sqref="E4:E13" showErrorMessage="1" showInputMessage="1" allowBlank="0" type="list">
      <formula1>"Hourly,Piece Rate"</formula1>
    </dataValidation>
    <dataValidation sqref="N4:N13" showErrorMessage="1" showInputMessage="1" allowBlank="0" type="list">
      <formula1>"Paid,Pending"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8" customWidth="1" min="4" max="4"/>
    <col width="13" customWidth="1" min="5" max="5"/>
    <col width="18" customWidth="1" min="6" max="6"/>
    <col width="16" customWidth="1" min="7" max="7"/>
    <col width="14" customWidth="1" min="9" max="9"/>
    <col width="18" customWidth="1" min="10" max="10"/>
  </cols>
  <sheetData>
    <row r="1" ht="24" customHeight="1">
      <c r="A1" s="20" t="inlineStr">
        <is>
          <t>Grape Picking Wages Dashboard</t>
        </is>
      </c>
    </row>
    <row r="2"/>
    <row r="3">
      <c r="A3" s="3" t="inlineStr">
        <is>
          <t>Key Metrics</t>
        </is>
      </c>
      <c r="D3" s="3" t="inlineStr">
        <is>
          <t>Picker Summary</t>
        </is>
      </c>
      <c r="I3" s="3" t="inlineStr">
        <is>
          <t>Daily Gross Pay Trend</t>
        </is>
      </c>
    </row>
    <row r="4">
      <c r="A4" s="21" t="inlineStr">
        <is>
          <t>Total Pickers Logged</t>
        </is>
      </c>
      <c r="B4" s="22">
        <f>COUNTA('Wages Tracker'!B4:B13)</f>
        <v/>
      </c>
      <c r="D4" s="4" t="inlineStr">
        <is>
          <t>Picker Name</t>
        </is>
      </c>
      <c r="E4" s="4" t="inlineStr">
        <is>
          <t>Total Hours</t>
        </is>
      </c>
      <c r="F4" s="4" t="inlineStr">
        <is>
          <t>Total Gross Pay ($)</t>
        </is>
      </c>
      <c r="G4" s="4" t="inlineStr">
        <is>
          <t>Total Net Pay ($)</t>
        </is>
      </c>
      <c r="I4" s="23" t="inlineStr">
        <is>
          <t>Date</t>
        </is>
      </c>
      <c r="J4" s="23" t="inlineStr">
        <is>
          <t>Total Gross Pay ($)</t>
        </is>
      </c>
    </row>
    <row r="5">
      <c r="A5" s="24" t="inlineStr">
        <is>
          <t>Total Hours Worked</t>
        </is>
      </c>
      <c r="B5" s="25">
        <f>'Wages Tracker'!F14</f>
        <v/>
      </c>
      <c r="D5" s="7" t="inlineStr">
        <is>
          <t>Aroha Ngata</t>
        </is>
      </c>
      <c r="E5" s="8">
        <f>SUMIF('Wages Tracker'!$B$4:$B$13,D5,'Wages Tracker'!$F$4:$F$13)</f>
        <v/>
      </c>
      <c r="F5" s="9">
        <f>SUMIF('Wages Tracker'!$B$4:$B$13,D5,'Wages Tracker'!$I$4:$I$13)</f>
        <v/>
      </c>
      <c r="G5" s="9">
        <f>SUMIF('Wages Tracker'!$B$4:$B$13,D5,'Wages Tracker'!$L$4:$L$13)</f>
        <v/>
      </c>
      <c r="I5" s="26" t="inlineStr">
        <is>
          <t>10/03/2026</t>
        </is>
      </c>
      <c r="J5" s="27">
        <f>SUMIF('Wages Tracker'!$A$4:$A$13,I5,'Wages Tracker'!$I$4:$I$13)</f>
        <v/>
      </c>
    </row>
    <row r="6">
      <c r="A6" s="21" t="inlineStr">
        <is>
          <t>Total Bins Picked</t>
        </is>
      </c>
      <c r="B6" s="22">
        <f>'Wages Tracker'!G14</f>
        <v/>
      </c>
      <c r="D6" s="13" t="inlineStr">
        <is>
          <t>Liam Thompson</t>
        </is>
      </c>
      <c r="E6" s="14">
        <f>SUMIF('Wages Tracker'!$B$4:$B$13,D6,'Wages Tracker'!$F$4:$F$13)</f>
        <v/>
      </c>
      <c r="F6" s="15">
        <f>SUMIF('Wages Tracker'!$B$4:$B$13,D6,'Wages Tracker'!$I$4:$I$13)</f>
        <v/>
      </c>
      <c r="G6" s="15">
        <f>SUMIF('Wages Tracker'!$B$4:$B$13,D6,'Wages Tracker'!$L$4:$L$13)</f>
        <v/>
      </c>
      <c r="I6" s="28" t="inlineStr">
        <is>
          <t>11/03/2026</t>
        </is>
      </c>
      <c r="J6" s="29">
        <f>SUMIF('Wages Tracker'!$A$4:$A$13,I6,'Wages Tracker'!$I$4:$I$13)</f>
        <v/>
      </c>
    </row>
    <row r="7">
      <c r="A7" s="24" t="inlineStr">
        <is>
          <t>Total Gross Pay ($)</t>
        </is>
      </c>
      <c r="B7" s="25">
        <f>'Wages Tracker'!I14</f>
        <v/>
      </c>
      <c r="D7" s="7" t="inlineStr">
        <is>
          <t>Charlotte Reid</t>
        </is>
      </c>
      <c r="E7" s="8">
        <f>SUMIF('Wages Tracker'!$B$4:$B$13,D7,'Wages Tracker'!$F$4:$F$13)</f>
        <v/>
      </c>
      <c r="F7" s="9">
        <f>SUMIF('Wages Tracker'!$B$4:$B$13,D7,'Wages Tracker'!$I$4:$I$13)</f>
        <v/>
      </c>
      <c r="G7" s="9">
        <f>SUMIF('Wages Tracker'!$B$4:$B$13,D7,'Wages Tracker'!$L$4:$L$13)</f>
        <v/>
      </c>
      <c r="I7" s="26" t="inlineStr">
        <is>
          <t>12/03/2026</t>
        </is>
      </c>
      <c r="J7" s="27">
        <f>SUMIF('Wages Tracker'!$A$4:$A$13,I7,'Wages Tracker'!$I$4:$I$13)</f>
        <v/>
      </c>
    </row>
    <row r="8">
      <c r="A8" s="21" t="inlineStr">
        <is>
          <t>Total Net Pay ($)</t>
        </is>
      </c>
      <c r="B8" s="30">
        <f>'Wages Tracker'!L14</f>
        <v/>
      </c>
      <c r="D8" s="13" t="inlineStr">
        <is>
          <t>Manaia Walker</t>
        </is>
      </c>
      <c r="E8" s="14">
        <f>SUMIF('Wages Tracker'!$B$4:$B$13,D8,'Wages Tracker'!$F$4:$F$13)</f>
        <v/>
      </c>
      <c r="F8" s="15">
        <f>SUMIF('Wages Tracker'!$B$4:$B$13,D8,'Wages Tracker'!$I$4:$I$13)</f>
        <v/>
      </c>
      <c r="G8" s="15">
        <f>SUMIF('Wages Tracker'!$B$4:$B$13,D8,'Wages Tracker'!$L$4:$L$13)</f>
        <v/>
      </c>
      <c r="I8" s="28" t="inlineStr">
        <is>
          <t>13/03/2026</t>
        </is>
      </c>
      <c r="J8" s="29">
        <f>SUMIF('Wages Tracker'!$A$4:$A$13,I8,'Wages Tracker'!$I$4:$I$13)</f>
        <v/>
      </c>
    </row>
    <row r="9">
      <c r="A9" s="24" t="inlineStr">
        <is>
          <t>Average $/Hour Effective</t>
        </is>
      </c>
      <c r="B9" s="25">
        <f>'Wages Tracker'!M14</f>
        <v/>
      </c>
      <c r="D9" s="7" t="inlineStr">
        <is>
          <t>Sophie Anderson</t>
        </is>
      </c>
      <c r="E9" s="8">
        <f>SUMIF('Wages Tracker'!$B$4:$B$13,D9,'Wages Tracker'!$F$4:$F$13)</f>
        <v/>
      </c>
      <c r="F9" s="9">
        <f>SUMIF('Wages Tracker'!$B$4:$B$13,D9,'Wages Tracker'!$I$4:$I$13)</f>
        <v/>
      </c>
      <c r="G9" s="9">
        <f>SUMIF('Wages Tracker'!$B$4:$B$13,D9,'Wages Tracker'!$L$4:$L$13)</f>
        <v/>
      </c>
      <c r="I9" s="26" t="inlineStr">
        <is>
          <t>14/03/2026</t>
        </is>
      </c>
      <c r="J9" s="27">
        <f>SUMIF('Wages Tracker'!$A$4:$A$13,I9,'Wages Tracker'!$I$4:$I$13)</f>
        <v/>
      </c>
    </row>
    <row r="10">
      <c r="D10" s="13" t="inlineStr">
        <is>
          <t>Hemi Rangi</t>
        </is>
      </c>
      <c r="E10" s="14">
        <f>SUMIF('Wages Tracker'!$B$4:$B$13,D10,'Wages Tracker'!$F$4:$F$13)</f>
        <v/>
      </c>
      <c r="F10" s="15">
        <f>SUMIF('Wages Tracker'!$B$4:$B$13,D10,'Wages Tracker'!$I$4:$I$13)</f>
        <v/>
      </c>
      <c r="G10" s="15">
        <f>SUMIF('Wages Tracker'!$B$4:$B$13,D10,'Wages Tracker'!$L$4:$L$13)</f>
        <v/>
      </c>
    </row>
    <row r="11"/>
    <row r="12"/>
    <row r="13">
      <c r="D13" s="3" t="inlineStr">
        <is>
          <t>Rate Type Distribution</t>
        </is>
      </c>
    </row>
    <row r="14">
      <c r="D14" s="31" t="inlineStr">
        <is>
          <t>Hourly</t>
        </is>
      </c>
      <c r="E14" s="31">
        <f>COUNTIF('Wages Tracker'!$E$4:$E$13,"Hourly")</f>
        <v/>
      </c>
    </row>
    <row r="15">
      <c r="D15" s="31" t="inlineStr">
        <is>
          <t>Piece Rate</t>
        </is>
      </c>
      <c r="E15" s="31">
        <f>COUNTIF('Wages Tracker'!$E$4:$E$13,"Piece Rate")</f>
        <v/>
      </c>
    </row>
  </sheetData>
  <mergeCells count="5">
    <mergeCell ref="A1:H1"/>
    <mergeCell ref="A3:B3"/>
    <mergeCell ref="D3:G3"/>
    <mergeCell ref="D13:E13"/>
    <mergeCell ref="I3:J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55" customWidth="1" min="1" max="1"/>
    <col width="30" customWidth="1" min="2" max="2"/>
  </cols>
  <sheetData>
    <row r="1" ht="24" customHeight="1">
      <c r="A1" s="20" t="inlineStr">
        <is>
          <t>Instructions - Grape Picking Wages Tracker</t>
        </is>
      </c>
    </row>
    <row r="2"/>
    <row r="3">
      <c r="A3" s="3" t="inlineStr">
        <is>
          <t>Overview</t>
        </is>
      </c>
    </row>
    <row r="4">
      <c r="A4" s="32" t="inlineStr">
        <is>
          <t>This workbook helps vineyard supervisors in Marlborough (and elsewhere in Aotearoa New Zealand) record and calculate grape picker wages for both hourly and piece-rate work, including KiwiSaver and PAYE estimates, and check compliance with the minimum wage.</t>
        </is>
      </c>
    </row>
    <row r="5"/>
    <row r="6"/>
    <row r="7"/>
    <row r="8">
      <c r="A8" s="33" t="inlineStr">
        <is>
          <t>Wages Tracker sheet</t>
        </is>
      </c>
    </row>
    <row r="9" ht="28" customHeight="1">
      <c r="A9" s="32" t="inlineStr">
        <is>
          <t>- Date - the day the picking work was performed.</t>
        </is>
      </c>
    </row>
    <row r="10" ht="28" customHeight="1">
      <c r="A10" s="32" t="inlineStr">
        <is>
          <t>- Picker Name / Vineyard Block - identify who worked and where.</t>
        </is>
      </c>
    </row>
    <row r="11" ht="28" customHeight="1">
      <c r="A11" s="32" t="inlineStr">
        <is>
          <t>- Experience Level - choose Beginner, Experienced or Supervisor from the dropdown; this determines the Hourly Rate via a VLOOKUP against the Rate Reference Table (columns P:Q).</t>
        </is>
      </c>
    </row>
    <row r="12" ht="28" customHeight="1">
      <c r="A12" s="32" t="inlineStr">
        <is>
          <t>- Rate Type - choose Hourly or Piece Rate from the dropdown.</t>
        </is>
      </c>
    </row>
    <row r="13" ht="28" customHeight="1">
      <c r="A13" s="32" t="inlineStr">
        <is>
          <t>- Hours Worked / Bins Picked - enter the actual hours or bins for the day.</t>
        </is>
      </c>
    </row>
    <row r="14" ht="28" customHeight="1">
      <c r="A14" s="32" t="inlineStr">
        <is>
          <t>- Hourly Rate ($) - automatically looked up; do not edit directly.</t>
        </is>
      </c>
    </row>
    <row r="15" ht="28" customHeight="1">
      <c r="A15" s="32" t="inlineStr">
        <is>
          <t>- Gross Pay ($) - calculated as Hours x Hourly Rate (if Hourly) or Bins x Piece Rate per Bin (if Piece Rate).</t>
        </is>
      </c>
    </row>
    <row r="16" ht="28" customHeight="1">
      <c r="A16" s="32" t="inlineStr">
        <is>
          <t>- KiwiSaver 3% ($) and PAYE Est. ($) - simplified statutory deduction estimates; check with an accountant for exact figures.</t>
        </is>
      </c>
    </row>
    <row r="17" ht="28" customHeight="1">
      <c r="A17" s="32" t="inlineStr">
        <is>
          <t>- Net Pay ($) - Gross Pay less KiwiSaver and PAYE estimates.</t>
        </is>
      </c>
    </row>
    <row r="18" ht="28" customHeight="1">
      <c r="A18" s="32" t="inlineStr">
        <is>
          <t>- Effective $/Hour - Gross Pay divided by Hours Worked; highlighted red if below the minimum wage set in cell Q9.</t>
        </is>
      </c>
    </row>
    <row r="19" ht="28" customHeight="1">
      <c r="A19" s="32" t="inlineStr">
        <is>
          <t>- Payment Status - choose Paid or Pending from the dropdown; rows are colour-coded automatically.</t>
        </is>
      </c>
    </row>
    <row r="20"/>
    <row r="21">
      <c r="A21" s="33" t="inlineStr">
        <is>
          <t>Rate Reference Tables (columns P:Q)</t>
        </is>
      </c>
    </row>
    <row r="22" ht="28" customHeight="1">
      <c r="A22" s="32" t="inlineStr">
        <is>
          <t>- Edit the Hourly Rate values (yellow input cells) to match your vineyard pay rates.</t>
        </is>
      </c>
    </row>
    <row r="23" ht="28" customHeight="1">
      <c r="A23" s="32" t="inlineStr">
        <is>
          <t>- Piece Rate per Bin ($) and Minimum Wage ($/hr) are also editable input cells used across all formulas.</t>
        </is>
      </c>
    </row>
    <row r="24"/>
    <row r="25">
      <c r="A25" s="33" t="inlineStr">
        <is>
          <t>Dashboard sheet</t>
        </is>
      </c>
    </row>
    <row r="26" ht="28" customHeight="1">
      <c r="A26" s="32" t="inlineStr">
        <is>
          <t>- Key Metrics show totals for pickers, hours, bins, gross pay, net pay and average effective rate.</t>
        </is>
      </c>
    </row>
    <row r="27" ht="28" customHeight="1">
      <c r="A27" s="32" t="inlineStr">
        <is>
          <t>- Picker Summary aggregates totals per picker using SUMIF formulas linked to the Wages Tracker sheet.</t>
        </is>
      </c>
    </row>
    <row r="28" ht="28" customHeight="1">
      <c r="A28" s="32" t="inlineStr">
        <is>
          <t>- Charts visualise gross pay by picker, rate type distribution and the daily gross pay trend.</t>
        </is>
      </c>
    </row>
    <row r="29"/>
    <row r="30">
      <c r="A30" s="33" t="inlineStr">
        <is>
          <t>General notes</t>
        </is>
      </c>
    </row>
    <row r="31" ht="28" customHeight="1">
      <c r="A31" s="32" t="inlineStr">
        <is>
          <t>- All amounts are in New Zealand dollars (NZD).</t>
        </is>
      </c>
    </row>
    <row r="32" ht="28" customHeight="1">
      <c r="A32" s="32" t="inlineStr">
        <is>
          <t>- PAYE and KiwiSaver figures in this template are simplified estimates for planning purposes only.</t>
        </is>
      </c>
    </row>
    <row r="33" ht="28" customHeight="1">
      <c r="A33" s="32" t="inlineStr">
        <is>
          <t>- Yellow cells are designed to be edited; other cells contain formulas and should not normally be overwritten.</t>
        </is>
      </c>
    </row>
  </sheetData>
  <mergeCells count="26">
    <mergeCell ref="A1:B1"/>
    <mergeCell ref="A3:B3"/>
    <mergeCell ref="A4:B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1:B21"/>
    <mergeCell ref="A22:B22"/>
    <mergeCell ref="A23:B23"/>
    <mergeCell ref="A25:B25"/>
    <mergeCell ref="A26:B26"/>
    <mergeCell ref="A27:B27"/>
    <mergeCell ref="A28:B28"/>
    <mergeCell ref="A30:B30"/>
    <mergeCell ref="A31:B31"/>
    <mergeCell ref="A32:B32"/>
    <mergeCell ref="A33:B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2026-07-14T12:52:24Z</dcterms:created>
  <dcterms:modified xmlns:dcterms="http://purl.org/dc/terms/" xmlns:xsi="http://www.w3.org/2001/XMLSchema-instance" xsi:type="dcterms:W3CDTF">2026-07-14T12:52:24Z</dcterms:modified>
</cp:coreProperties>
</file>