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n Count Log" sheetId="1" state="visible" r:id="rId1"/>
    <sheet xmlns:r="http://schemas.openxmlformats.org/officeDocument/2006/relationships" name="Block Summary"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5">
    <numFmt numFmtId="164" formatCode="DD/MM/YYYY"/>
    <numFmt numFmtId="165" formatCode="0.0"/>
    <numFmt numFmtId="166" formatCode="0;[Red]-0"/>
    <numFmt numFmtId="167" formatCode="$#,##0.00"/>
    <numFmt numFmtId="168" formatCode="0.0%"/>
  </numFmts>
  <fonts count="6">
    <font>
      <name val="Calibri"/>
      <family val="2"/>
      <color theme="1"/>
      <sz val="11"/>
      <scheme val="minor"/>
    </font>
    <font>
      <name val="Calibri"/>
      <b val="1"/>
      <color rgb="000F766E"/>
      <sz val="16"/>
    </font>
    <font>
      <name val="Calibri"/>
      <b val="1"/>
      <color rgb="00FFFFFF"/>
      <sz val="11"/>
    </font>
    <font>
      <name val="Calibri"/>
      <b val="1"/>
      <sz val="11"/>
    </font>
    <font>
      <name val="Calibri"/>
      <b val="1"/>
      <color rgb="000F766E"/>
      <sz val="12"/>
    </font>
    <font>
      <name val="Calibri"/>
      <sz val="11"/>
    </font>
  </fonts>
  <fills count="8">
    <fill>
      <patternFill/>
    </fill>
    <fill>
      <patternFill patternType="gray125"/>
    </fill>
    <fill>
      <patternFill patternType="solid">
        <fgColor rgb="000F766E"/>
      </patternFill>
    </fill>
    <fill>
      <patternFill patternType="solid">
        <fgColor rgb="00FFFBEB"/>
      </patternFill>
    </fill>
    <fill>
      <patternFill patternType="solid">
        <fgColor rgb="00F0FDFA"/>
      </patternFill>
    </fill>
    <fill>
      <patternFill patternType="solid">
        <fgColor rgb="00FFFFFF"/>
      </patternFill>
    </fill>
    <fill>
      <patternFill patternType="solid">
        <fgColor rgb="00CCFBF1"/>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58">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164" fontId="0" fillId="4" borderId="1" applyAlignment="1" pivotButton="0" quotePrefix="0" xfId="0">
      <alignment horizontal="center" vertical="center"/>
    </xf>
    <xf numFmtId="0" fontId="0" fillId="3" borderId="1" applyAlignment="1" pivotButton="0" quotePrefix="0" xfId="0">
      <alignment horizontal="center" vertical="center"/>
    </xf>
    <xf numFmtId="0" fontId="0" fillId="4" borderId="1" applyAlignment="1" pivotButton="0" quotePrefix="0" xfId="0">
      <alignment horizontal="center" vertical="center"/>
    </xf>
    <xf numFmtId="1" fontId="0" fillId="4" borderId="1" applyAlignment="1" pivotButton="0" quotePrefix="0" xfId="0">
      <alignment horizontal="center" vertical="center"/>
    </xf>
    <xf numFmtId="165" fontId="0" fillId="4" borderId="1" applyAlignment="1" pivotButton="0" quotePrefix="0" xfId="0">
      <alignment horizontal="center" vertical="center"/>
    </xf>
    <xf numFmtId="166" fontId="0" fillId="4" borderId="1" applyAlignment="1" pivotButton="0" quotePrefix="0" xfId="0">
      <alignment horizontal="center" vertical="center"/>
    </xf>
    <xf numFmtId="2" fontId="0" fillId="3" borderId="1" applyAlignment="1" pivotButton="0" quotePrefix="0" xfId="0">
      <alignment horizontal="center" vertical="center"/>
    </xf>
    <xf numFmtId="3" fontId="0" fillId="4" borderId="1" applyAlignment="1" pivotButton="0" quotePrefix="0" xfId="0">
      <alignment horizontal="center" vertical="center"/>
    </xf>
    <xf numFmtId="167" fontId="0" fillId="3" borderId="1" applyAlignment="1" pivotButton="0" quotePrefix="0" xfId="0">
      <alignment horizontal="center" vertical="center"/>
    </xf>
    <xf numFmtId="167" fontId="0" fillId="4" borderId="1" applyAlignment="1" pivotButton="0" quotePrefix="0" xfId="0">
      <alignment horizontal="center" vertical="center"/>
    </xf>
    <xf numFmtId="164" fontId="0" fillId="5" borderId="1" applyAlignment="1" pivotButton="0" quotePrefix="0" xfId="0">
      <alignment horizontal="center" vertical="center"/>
    </xf>
    <xf numFmtId="0" fontId="0" fillId="5" borderId="1" applyAlignment="1" pivotButton="0" quotePrefix="0" xfId="0">
      <alignment horizontal="center" vertical="center"/>
    </xf>
    <xf numFmtId="1" fontId="0" fillId="5" borderId="1" applyAlignment="1" pivotButton="0" quotePrefix="0" xfId="0">
      <alignment horizontal="center" vertical="center"/>
    </xf>
    <xf numFmtId="165" fontId="0" fillId="5" borderId="1" applyAlignment="1" pivotButton="0" quotePrefix="0" xfId="0">
      <alignment horizontal="center" vertical="center"/>
    </xf>
    <xf numFmtId="166" fontId="0" fillId="5" borderId="1" applyAlignment="1" pivotButton="0" quotePrefix="0" xfId="0">
      <alignment horizontal="center" vertical="center"/>
    </xf>
    <xf numFmtId="3" fontId="0" fillId="5" borderId="1" applyAlignment="1" pivotButton="0" quotePrefix="0" xfId="0">
      <alignment horizontal="center" vertical="center"/>
    </xf>
    <xf numFmtId="167" fontId="0" fillId="5" borderId="1" applyAlignment="1" pivotButton="0" quotePrefix="0" xfId="0">
      <alignment horizontal="center" vertical="center"/>
    </xf>
    <xf numFmtId="0" fontId="0" fillId="6" borderId="1" pivotButton="0" quotePrefix="0" xfId="0"/>
    <xf numFmtId="0" fontId="3" fillId="6" borderId="1" pivotButton="0" quotePrefix="0" xfId="0"/>
    <xf numFmtId="3" fontId="3" fillId="6" borderId="1" pivotButton="0" quotePrefix="0" xfId="0"/>
    <xf numFmtId="166" fontId="3" fillId="6" borderId="1" pivotButton="0" quotePrefix="0" xfId="0"/>
    <xf numFmtId="167" fontId="3" fillId="6" borderId="1" pivotButton="0" quotePrefix="0" xfId="0"/>
    <xf numFmtId="0" fontId="2" fillId="7" borderId="1" applyAlignment="1" pivotButton="0" quotePrefix="0" xfId="0">
      <alignment horizontal="center" vertical="center"/>
    </xf>
    <xf numFmtId="165" fontId="0" fillId="3" borderId="1" applyAlignment="1" pivotButton="0" quotePrefix="0" xfId="0">
      <alignment horizontal="center" vertical="center"/>
    </xf>
    <xf numFmtId="1" fontId="0" fillId="3" borderId="1" applyAlignment="1" pivotButton="0" quotePrefix="0" xfId="0">
      <alignment horizontal="center" vertical="center"/>
    </xf>
    <xf numFmtId="168" fontId="0" fillId="4" borderId="1" applyAlignment="1" pivotButton="0" quotePrefix="0" xfId="0">
      <alignment horizontal="center" vertical="center"/>
    </xf>
    <xf numFmtId="168" fontId="0" fillId="5" borderId="1" applyAlignment="1" pivotButton="0" quotePrefix="0" xfId="0">
      <alignment horizontal="center" vertical="center"/>
    </xf>
    <xf numFmtId="165" fontId="3" fillId="6" borderId="1" pivotButton="0" quotePrefix="0" xfId="0"/>
    <xf numFmtId="0" fontId="3" fillId="0" borderId="0" pivotButton="0" quotePrefix="0" xfId="0"/>
    <xf numFmtId="0" fontId="3" fillId="4" borderId="1" pivotButton="0" quotePrefix="0" xfId="0"/>
    <xf numFmtId="3" fontId="4" fillId="0" borderId="1" applyAlignment="1" pivotButton="0" quotePrefix="0" xfId="0">
      <alignment horizontal="center" vertical="center"/>
    </xf>
    <xf numFmtId="165" fontId="4" fillId="0" borderId="1" applyAlignment="1" pivotButton="0" quotePrefix="0" xfId="0">
      <alignment horizontal="center" vertical="center"/>
    </xf>
    <xf numFmtId="167" fontId="4" fillId="0" borderId="1" applyAlignment="1" pivotButton="0" quotePrefix="0" xfId="0">
      <alignment horizontal="center" vertical="center"/>
    </xf>
    <xf numFmtId="1" fontId="4" fillId="0" borderId="1" applyAlignment="1" pivotButton="0" quotePrefix="0" xfId="0">
      <alignment horizontal="center" vertical="center"/>
    </xf>
    <xf numFmtId="0" fontId="3" fillId="4" borderId="1" applyAlignment="1" pivotButton="0" quotePrefix="0" xfId="0">
      <alignment horizontal="left" vertical="top" wrapText="1"/>
    </xf>
    <xf numFmtId="0" fontId="5" fillId="4" borderId="1" applyAlignment="1" pivotButton="0" quotePrefix="0" xfId="0">
      <alignment horizontal="left" vertical="top" wrapText="1"/>
    </xf>
    <xf numFmtId="0" fontId="3" fillId="5" borderId="1" applyAlignment="1" pivotButton="0" quotePrefix="0" xfId="0">
      <alignment horizontal="left" vertical="top" wrapText="1"/>
    </xf>
    <xf numFmtId="0" fontId="5" fillId="5" borderId="1" applyAlignment="1" pivotButton="0" quotePrefix="0" xfId="0">
      <alignment horizontal="left" vertical="top" wrapText="1"/>
    </xf>
    <xf numFmtId="164" fontId="0" fillId="4" borderId="1" applyAlignment="1" pivotButton="0" quotePrefix="0" xfId="0">
      <alignment horizontal="center" vertical="center"/>
    </xf>
    <xf numFmtId="165" fontId="0" fillId="4" borderId="1" applyAlignment="1" pivotButton="0" quotePrefix="0" xfId="0">
      <alignment horizontal="center" vertical="center"/>
    </xf>
    <xf numFmtId="166" fontId="0" fillId="4" borderId="1" applyAlignment="1" pivotButton="0" quotePrefix="0" xfId="0">
      <alignment horizontal="center" vertical="center"/>
    </xf>
    <xf numFmtId="167" fontId="0" fillId="3" borderId="1" applyAlignment="1" pivotButton="0" quotePrefix="0" xfId="0">
      <alignment horizontal="center" vertical="center"/>
    </xf>
    <xf numFmtId="167" fontId="0" fillId="4" borderId="1" applyAlignment="1" pivotButton="0" quotePrefix="0" xfId="0">
      <alignment horizontal="center" vertical="center"/>
    </xf>
    <xf numFmtId="164" fontId="0" fillId="5" borderId="1" applyAlignment="1" pivotButton="0" quotePrefix="0" xfId="0">
      <alignment horizontal="center" vertical="center"/>
    </xf>
    <xf numFmtId="165" fontId="0" fillId="5" borderId="1" applyAlignment="1" pivotButton="0" quotePrefix="0" xfId="0">
      <alignment horizontal="center" vertical="center"/>
    </xf>
    <xf numFmtId="166" fontId="0" fillId="5" borderId="1" applyAlignment="1" pivotButton="0" quotePrefix="0" xfId="0">
      <alignment horizontal="center" vertical="center"/>
    </xf>
    <xf numFmtId="167" fontId="0" fillId="5" borderId="1" applyAlignment="1" pivotButton="0" quotePrefix="0" xfId="0">
      <alignment horizontal="center" vertical="center"/>
    </xf>
    <xf numFmtId="166" fontId="3" fillId="6" borderId="1" pivotButton="0" quotePrefix="0" xfId="0"/>
    <xf numFmtId="167" fontId="3" fillId="6" borderId="1" pivotButton="0" quotePrefix="0" xfId="0"/>
    <xf numFmtId="165" fontId="0" fillId="3" borderId="1" applyAlignment="1" pivotButton="0" quotePrefix="0" xfId="0">
      <alignment horizontal="center" vertical="center"/>
    </xf>
    <xf numFmtId="168" fontId="0" fillId="4" borderId="1" applyAlignment="1" pivotButton="0" quotePrefix="0" xfId="0">
      <alignment horizontal="center" vertical="center"/>
    </xf>
    <xf numFmtId="168" fontId="0" fillId="5" borderId="1" applyAlignment="1" pivotButton="0" quotePrefix="0" xfId="0">
      <alignment horizontal="center" vertical="center"/>
    </xf>
    <xf numFmtId="165" fontId="3" fillId="6" borderId="1" pivotButton="0" quotePrefix="0" xfId="0"/>
    <xf numFmtId="165" fontId="4" fillId="0" borderId="1" applyAlignment="1" pivotButton="0" quotePrefix="0" xfId="0">
      <alignment horizontal="center" vertical="center"/>
    </xf>
    <xf numFmtId="167" fontId="4" fillId="0" borderId="1" applyAlignment="1" pivotButton="0" quotePrefix="0" xfId="0">
      <alignment horizontal="center" vertical="center"/>
    </xf>
  </cellXfs>
  <cellStyles count="1">
    <cellStyle name="Normal" xfId="0" builtinId="0" hidden="0"/>
  </cellStyles>
  <dxfs count="2">
    <dxf>
      <font>
        <name val="Calibri"/>
        <b val="1"/>
        <color rgb="0022C55E"/>
        <sz val="11"/>
      </font>
      <fill>
        <patternFill patternType="solid">
          <fgColor rgb="00DCFCE7"/>
        </patternFill>
      </fill>
    </dxf>
    <dxf>
      <font>
        <name val="Calibri"/>
        <b val="1"/>
        <color rgb="00DC2626"/>
        <sz val="11"/>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Total Bins Picked per Block</a:t>
            </a:r>
          </a:p>
        </rich>
      </tx>
    </title>
    <plotArea>
      <barChart>
        <barDir val="col"/>
        <grouping val="clustered"/>
        <ser>
          <idx val="0"/>
          <order val="0"/>
          <tx>
            <strRef>
              <f>'Block Summary'!E3</f>
            </strRef>
          </tx>
          <spPr>
            <a:solidFill xmlns:a="http://schemas.openxmlformats.org/drawingml/2006/main">
              <a:srgbClr val="14B8A6"/>
            </a:solidFill>
            <a:ln xmlns:a="http://schemas.openxmlformats.org/drawingml/2006/main">
              <a:prstDash val="solid"/>
            </a:ln>
          </spPr>
          <cat>
            <numRef>
              <f>'Block Summary'!$A$4:$A$11</f>
            </numRef>
          </cat>
          <val>
            <numRef>
              <f>'Block Summary'!$E$4:$E$11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Block Code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Bins</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Bins Picked by Variety</a:t>
            </a:r>
          </a:p>
        </rich>
      </tx>
    </title>
    <plotArea>
      <pieChart>
        <varyColors val="1"/>
        <ser>
          <idx val="0"/>
          <order val="0"/>
          <spPr>
            <a:ln xmlns:a="http://schemas.openxmlformats.org/drawingml/2006/main">
              <a:prstDash val="solid"/>
            </a:ln>
          </spPr>
          <cat>
            <numRef>
              <f>'Block Summary'!$A$16:$A$18</f>
            </numRef>
          </cat>
          <val>
            <numRef>
              <f>'Block Summary'!$B$16:$B$18</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Bins Picked by Date</a:t>
            </a:r>
          </a:p>
        </rich>
      </tx>
    </title>
    <plotArea>
      <lineChart>
        <grouping val="standard"/>
        <ser>
          <idx val="0"/>
          <order val="0"/>
          <tx>
            <strRef>
              <f>'Bin Count Log'!E3</f>
            </strRef>
          </tx>
          <spPr>
            <a:ln xmlns:a="http://schemas.openxmlformats.org/drawingml/2006/main" w="20000">
              <a:prstDash val="solid"/>
            </a:ln>
          </spPr>
          <marker>
            <symbol val="none"/>
            <spPr>
              <a:ln xmlns:a="http://schemas.openxmlformats.org/drawingml/2006/main">
                <a:prstDash val="solid"/>
              </a:ln>
            </spPr>
          </marker>
          <cat>
            <numRef>
              <f>'Bin Count Log'!$A$4:$A$13</f>
            </numRef>
          </cat>
          <val>
            <numRef>
              <f>'Bin Count Log'!$E$4:$E$13</f>
            </numRef>
          </val>
        </ser>
        <axId val="10"/>
        <axId val="100"/>
      </lineChart>
      <catAx>
        <axId val="10"/>
        <scaling>
          <orientation val="minMax"/>
        </scaling>
        <axPos val="l"/>
        <title>
          <tx>
            <rich>
              <a:bodyPr xmlns:a="http://schemas.openxmlformats.org/drawingml/2006/main"/>
              <a:p xmlns:a="http://schemas.openxmlformats.org/drawingml/2006/main">
                <a:pPr>
                  <a:defRPr/>
                </a:pPr>
                <a:r>
                  <a:t>Date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Bins</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9</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9</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27</row>
      <rowOff>0</rowOff>
    </from>
    <ext cx="576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14"/>
  <sheetViews>
    <sheetView workbookViewId="0">
      <pane ySplit="3" topLeftCell="A4" activePane="bottomLeft" state="frozen"/>
      <selection pane="bottomLeft" activeCell="A1" sqref="A1"/>
    </sheetView>
  </sheetViews>
  <sheetFormatPr baseColWidth="8" defaultRowHeight="15"/>
  <cols>
    <col width="12" customWidth="1" min="1" max="1"/>
    <col width="11" customWidth="1" min="2" max="2"/>
    <col width="10" customWidth="1" min="3" max="3"/>
    <col width="20" customWidth="1" min="4" max="4"/>
    <col width="11" customWidth="1" min="5" max="5"/>
    <col width="13" customWidth="1" min="6" max="6"/>
    <col width="10" customWidth="1" min="7" max="7"/>
    <col width="15" customWidth="1" min="8" max="8"/>
    <col width="10" customWidth="1" min="9" max="9"/>
    <col width="16" customWidth="1" min="10" max="10"/>
    <col width="10" customWidth="1" min="11" max="11"/>
    <col width="12" customWidth="1" min="12" max="12"/>
    <col width="13" customWidth="1" min="13" max="13"/>
    <col width="15" customWidth="1" min="14" max="14"/>
    <col width="14" customWidth="1" min="15" max="15"/>
  </cols>
  <sheetData>
    <row r="1">
      <c r="A1" s="1" t="inlineStr">
        <is>
          <t>Kiwifruit Orchard Bin Count Tracker 2026 - Bay of Plenty</t>
        </is>
      </c>
    </row>
    <row r="2"/>
    <row r="3">
      <c r="A3" s="2" t="inlineStr">
        <is>
          <t>Date</t>
        </is>
      </c>
      <c r="B3" s="2" t="inlineStr">
        <is>
          <t>Block Code</t>
        </is>
      </c>
      <c r="C3" s="2" t="inlineStr">
        <is>
          <t>Variety</t>
        </is>
      </c>
      <c r="D3" s="2" t="inlineStr">
        <is>
          <t>Contractor / Picker</t>
        </is>
      </c>
      <c r="E3" s="2" t="inlineStr">
        <is>
          <t>Bins Picked</t>
        </is>
      </c>
      <c r="F3" s="2" t="inlineStr">
        <is>
          <t>Target Bins/Ha</t>
        </is>
      </c>
      <c r="G3" s="2" t="inlineStr">
        <is>
          <t>Hectares</t>
        </is>
      </c>
      <c r="H3" s="2" t="inlineStr">
        <is>
          <t>Target Bins (Total)</t>
        </is>
      </c>
      <c r="I3" s="2" t="inlineStr">
        <is>
          <t>Variance</t>
        </is>
      </c>
      <c r="J3" s="2" t="inlineStr">
        <is>
          <t>Avg Bin Weight (kg)</t>
        </is>
      </c>
      <c r="K3" s="2" t="inlineStr">
        <is>
          <t>Total kg</t>
        </is>
      </c>
      <c r="L3" s="2" t="inlineStr">
        <is>
          <t>Quality Grade</t>
        </is>
      </c>
      <c r="M3" s="2" t="inlineStr">
        <is>
          <t>Rate per Bin ($)</t>
        </is>
      </c>
      <c r="N3" s="2" t="inlineStr">
        <is>
          <t>Total Payment ($)</t>
        </is>
      </c>
      <c r="O3" s="2" t="inlineStr">
        <is>
          <t>Status</t>
        </is>
      </c>
    </row>
    <row r="4">
      <c r="A4" s="41" t="n">
        <v>46118</v>
      </c>
      <c r="B4" s="4" t="inlineStr">
        <is>
          <t>B2</t>
        </is>
      </c>
      <c r="C4" s="5" t="inlineStr">
        <is>
          <t>SunGold</t>
        </is>
      </c>
      <c r="D4" s="5" t="inlineStr">
        <is>
          <t>Aroha Ngata</t>
        </is>
      </c>
      <c r="E4" s="4" t="n">
        <v>148</v>
      </c>
      <c r="F4" s="6">
        <f>IFERROR(VLOOKUP(B4,'Block Summary'!$A$4:$D$11,4,FALSE),0)</f>
        <v/>
      </c>
      <c r="G4" s="42">
        <f>IFERROR(VLOOKUP(B4,'Block Summary'!$A$4:$D$11,3,FALSE),0)</f>
        <v/>
      </c>
      <c r="H4" s="6">
        <f>ROUND(F4*G4,0)</f>
        <v/>
      </c>
      <c r="I4" s="43">
        <f>E4-H4</f>
        <v/>
      </c>
      <c r="J4" s="9" t="n">
        <v>3.4</v>
      </c>
      <c r="K4" s="10">
        <f>E4*J4</f>
        <v/>
      </c>
      <c r="L4" s="4" t="inlineStr">
        <is>
          <t>A</t>
        </is>
      </c>
      <c r="M4" s="44" t="n">
        <v>13.5</v>
      </c>
      <c r="N4" s="45">
        <f>E4*M4</f>
        <v/>
      </c>
      <c r="O4" s="5">
        <f>IF(I4&gt;=0,"On Target","Below Target")</f>
        <v/>
      </c>
    </row>
    <row r="5">
      <c r="A5" s="46" t="n">
        <v>46119</v>
      </c>
      <c r="B5" s="4" t="inlineStr">
        <is>
          <t>A1</t>
        </is>
      </c>
      <c r="C5" s="14" t="inlineStr">
        <is>
          <t>Hayward</t>
        </is>
      </c>
      <c r="D5" s="14" t="inlineStr">
        <is>
          <t>Liam Fraser</t>
        </is>
      </c>
      <c r="E5" s="4" t="n">
        <v>210</v>
      </c>
      <c r="F5" s="15">
        <f>IFERROR(VLOOKUP(B5,'Block Summary'!$A$4:$D$11,4,FALSE),0)</f>
        <v/>
      </c>
      <c r="G5" s="47">
        <f>IFERROR(VLOOKUP(B5,'Block Summary'!$A$4:$D$11,3,FALSE),0)</f>
        <v/>
      </c>
      <c r="H5" s="15">
        <f>ROUND(F5*G5,0)</f>
        <v/>
      </c>
      <c r="I5" s="48">
        <f>E5-H5</f>
        <v/>
      </c>
      <c r="J5" s="9" t="n">
        <v>3.3</v>
      </c>
      <c r="K5" s="18">
        <f>E5*J5</f>
        <v/>
      </c>
      <c r="L5" s="4" t="inlineStr">
        <is>
          <t>A</t>
        </is>
      </c>
      <c r="M5" s="44" t="n">
        <v>12.8</v>
      </c>
      <c r="N5" s="49">
        <f>E5*M5</f>
        <v/>
      </c>
      <c r="O5" s="14">
        <f>IF(I5&gt;=0,"On Target","Below Target")</f>
        <v/>
      </c>
    </row>
    <row r="6">
      <c r="A6" s="41" t="n">
        <v>46120</v>
      </c>
      <c r="B6" s="4" t="inlineStr">
        <is>
          <t>D2</t>
        </is>
      </c>
      <c r="C6" s="5" t="inlineStr">
        <is>
          <t>SunGold</t>
        </is>
      </c>
      <c r="D6" s="5" t="inlineStr">
        <is>
          <t>Charlotte Reid</t>
        </is>
      </c>
      <c r="E6" s="4" t="n">
        <v>176</v>
      </c>
      <c r="F6" s="6">
        <f>IFERROR(VLOOKUP(B6,'Block Summary'!$A$4:$D$11,4,FALSE),0)</f>
        <v/>
      </c>
      <c r="G6" s="42">
        <f>IFERROR(VLOOKUP(B6,'Block Summary'!$A$4:$D$11,3,FALSE),0)</f>
        <v/>
      </c>
      <c r="H6" s="6">
        <f>ROUND(F6*G6,0)</f>
        <v/>
      </c>
      <c r="I6" s="43">
        <f>E6-H6</f>
        <v/>
      </c>
      <c r="J6" s="9" t="n">
        <v>3.4</v>
      </c>
      <c r="K6" s="10">
        <f>E6*J6</f>
        <v/>
      </c>
      <c r="L6" s="4" t="inlineStr">
        <is>
          <t>B</t>
        </is>
      </c>
      <c r="M6" s="44" t="n">
        <v>13.2</v>
      </c>
      <c r="N6" s="45">
        <f>E6*M6</f>
        <v/>
      </c>
      <c r="O6" s="5">
        <f>IF(I6&gt;=0,"On Target","Below Target")</f>
        <v/>
      </c>
    </row>
    <row r="7">
      <c r="A7" s="46" t="n">
        <v>46121</v>
      </c>
      <c r="B7" s="4" t="inlineStr">
        <is>
          <t>C1</t>
        </is>
      </c>
      <c r="C7" s="14" t="inlineStr">
        <is>
          <t>Gold3</t>
        </is>
      </c>
      <c r="D7" s="14" t="inlineStr">
        <is>
          <t>Manaia Walker</t>
        </is>
      </c>
      <c r="E7" s="4" t="n">
        <v>165</v>
      </c>
      <c r="F7" s="15">
        <f>IFERROR(VLOOKUP(B7,'Block Summary'!$A$4:$D$11,4,FALSE),0)</f>
        <v/>
      </c>
      <c r="G7" s="47">
        <f>IFERROR(VLOOKUP(B7,'Block Summary'!$A$4:$D$11,3,FALSE),0)</f>
        <v/>
      </c>
      <c r="H7" s="15">
        <f>ROUND(F7*G7,0)</f>
        <v/>
      </c>
      <c r="I7" s="48">
        <f>E7-H7</f>
        <v/>
      </c>
      <c r="J7" s="9" t="n">
        <v>3.2</v>
      </c>
      <c r="K7" s="18">
        <f>E7*J7</f>
        <v/>
      </c>
      <c r="L7" s="4" t="inlineStr">
        <is>
          <t>A</t>
        </is>
      </c>
      <c r="M7" s="44" t="n">
        <v>12.5</v>
      </c>
      <c r="N7" s="49">
        <f>E7*M7</f>
        <v/>
      </c>
      <c r="O7" s="14">
        <f>IF(I7&gt;=0,"On Target","Below Target")</f>
        <v/>
      </c>
    </row>
    <row r="8">
      <c r="A8" s="41" t="n">
        <v>46122</v>
      </c>
      <c r="B8" s="4" t="inlineStr">
        <is>
          <t>A2</t>
        </is>
      </c>
      <c r="C8" s="5" t="inlineStr">
        <is>
          <t>Hayward</t>
        </is>
      </c>
      <c r="D8" s="5" t="inlineStr">
        <is>
          <t>Sophie Bennett</t>
        </is>
      </c>
      <c r="E8" s="4" t="n">
        <v>198</v>
      </c>
      <c r="F8" s="6">
        <f>IFERROR(VLOOKUP(B8,'Block Summary'!$A$4:$D$11,4,FALSE),0)</f>
        <v/>
      </c>
      <c r="G8" s="42">
        <f>IFERROR(VLOOKUP(B8,'Block Summary'!$A$4:$D$11,3,FALSE),0)</f>
        <v/>
      </c>
      <c r="H8" s="6">
        <f>ROUND(F8*G8,0)</f>
        <v/>
      </c>
      <c r="I8" s="43">
        <f>E8-H8</f>
        <v/>
      </c>
      <c r="J8" s="9" t="n">
        <v>3.3</v>
      </c>
      <c r="K8" s="10">
        <f>E8*J8</f>
        <v/>
      </c>
      <c r="L8" s="4" t="inlineStr">
        <is>
          <t>A</t>
        </is>
      </c>
      <c r="M8" s="44" t="n">
        <v>12.9</v>
      </c>
      <c r="N8" s="45">
        <f>E8*M8</f>
        <v/>
      </c>
      <c r="O8" s="5">
        <f>IF(I8&gt;=0,"On Target","Below Target")</f>
        <v/>
      </c>
    </row>
    <row r="9">
      <c r="A9" s="46" t="n">
        <v>46125</v>
      </c>
      <c r="B9" s="4" t="inlineStr">
        <is>
          <t>B1</t>
        </is>
      </c>
      <c r="C9" s="14" t="inlineStr">
        <is>
          <t>SunGold</t>
        </is>
      </c>
      <c r="D9" s="14" t="inlineStr">
        <is>
          <t>Hemi Tane</t>
        </is>
      </c>
      <c r="E9" s="4" t="n">
        <v>220</v>
      </c>
      <c r="F9" s="15">
        <f>IFERROR(VLOOKUP(B9,'Block Summary'!$A$4:$D$11,4,FALSE),0)</f>
        <v/>
      </c>
      <c r="G9" s="47">
        <f>IFERROR(VLOOKUP(B9,'Block Summary'!$A$4:$D$11,3,FALSE),0)</f>
        <v/>
      </c>
      <c r="H9" s="15">
        <f>ROUND(F9*G9,0)</f>
        <v/>
      </c>
      <c r="I9" s="48">
        <f>E9-H9</f>
        <v/>
      </c>
      <c r="J9" s="9" t="n">
        <v>3.4</v>
      </c>
      <c r="K9" s="18">
        <f>E9*J9</f>
        <v/>
      </c>
      <c r="L9" s="4" t="inlineStr">
        <is>
          <t>B</t>
        </is>
      </c>
      <c r="M9" s="44" t="n">
        <v>13.6</v>
      </c>
      <c r="N9" s="49">
        <f>E9*M9</f>
        <v/>
      </c>
      <c r="O9" s="14">
        <f>IF(I9&gt;=0,"On Target","Below Target")</f>
        <v/>
      </c>
    </row>
    <row r="10">
      <c r="A10" s="41" t="n">
        <v>46126</v>
      </c>
      <c r="B10" s="4" t="inlineStr">
        <is>
          <t>C2</t>
        </is>
      </c>
      <c r="C10" s="5" t="inlineStr">
        <is>
          <t>Gold3</t>
        </is>
      </c>
      <c r="D10" s="5" t="inlineStr">
        <is>
          <t>Nikau Ropata</t>
        </is>
      </c>
      <c r="E10" s="4" t="n">
        <v>155</v>
      </c>
      <c r="F10" s="6">
        <f>IFERROR(VLOOKUP(B10,'Block Summary'!$A$4:$D$11,4,FALSE),0)</f>
        <v/>
      </c>
      <c r="G10" s="42">
        <f>IFERROR(VLOOKUP(B10,'Block Summary'!$A$4:$D$11,3,FALSE),0)</f>
        <v/>
      </c>
      <c r="H10" s="6">
        <f>ROUND(F10*G10,0)</f>
        <v/>
      </c>
      <c r="I10" s="43">
        <f>E10-H10</f>
        <v/>
      </c>
      <c r="J10" s="9" t="n">
        <v>3.2</v>
      </c>
      <c r="K10" s="10">
        <f>E10*J10</f>
        <v/>
      </c>
      <c r="L10" s="4" t="inlineStr">
        <is>
          <t>A</t>
        </is>
      </c>
      <c r="M10" s="44" t="n">
        <v>12.6</v>
      </c>
      <c r="N10" s="45">
        <f>E10*M10</f>
        <v/>
      </c>
      <c r="O10" s="5">
        <f>IF(I10&gt;=0,"On Target","Below Target")</f>
        <v/>
      </c>
    </row>
    <row r="11">
      <c r="A11" s="46" t="n">
        <v>46127</v>
      </c>
      <c r="B11" s="4" t="inlineStr">
        <is>
          <t>D1</t>
        </is>
      </c>
      <c r="C11" s="14" t="inlineStr">
        <is>
          <t>Hayward</t>
        </is>
      </c>
      <c r="D11" s="14" t="inlineStr">
        <is>
          <t>Isla Thompson</t>
        </is>
      </c>
      <c r="E11" s="4" t="n">
        <v>190</v>
      </c>
      <c r="F11" s="15">
        <f>IFERROR(VLOOKUP(B11,'Block Summary'!$A$4:$D$11,4,FALSE),0)</f>
        <v/>
      </c>
      <c r="G11" s="47">
        <f>IFERROR(VLOOKUP(B11,'Block Summary'!$A$4:$D$11,3,FALSE),0)</f>
        <v/>
      </c>
      <c r="H11" s="15">
        <f>ROUND(F11*G11,0)</f>
        <v/>
      </c>
      <c r="I11" s="48">
        <f>E11-H11</f>
        <v/>
      </c>
      <c r="J11" s="9" t="n">
        <v>3.3</v>
      </c>
      <c r="K11" s="18">
        <f>E11*J11</f>
        <v/>
      </c>
      <c r="L11" s="4" t="inlineStr">
        <is>
          <t>A</t>
        </is>
      </c>
      <c r="M11" s="44" t="n">
        <v>13.1</v>
      </c>
      <c r="N11" s="49">
        <f>E11*M11</f>
        <v/>
      </c>
      <c r="O11" s="14">
        <f>IF(I11&gt;=0,"On Target","Below Target")</f>
        <v/>
      </c>
    </row>
    <row r="12">
      <c r="A12" s="41" t="n">
        <v>46128</v>
      </c>
      <c r="B12" s="4" t="inlineStr">
        <is>
          <t>B2</t>
        </is>
      </c>
      <c r="C12" s="5" t="inlineStr">
        <is>
          <t>SunGold</t>
        </is>
      </c>
      <c r="D12" s="5" t="inlineStr">
        <is>
          <t>Mateo Silva</t>
        </is>
      </c>
      <c r="E12" s="4" t="n">
        <v>160</v>
      </c>
      <c r="F12" s="6">
        <f>IFERROR(VLOOKUP(B12,'Block Summary'!$A$4:$D$11,4,FALSE),0)</f>
        <v/>
      </c>
      <c r="G12" s="42">
        <f>IFERROR(VLOOKUP(B12,'Block Summary'!$A$4:$D$11,3,FALSE),0)</f>
        <v/>
      </c>
      <c r="H12" s="6">
        <f>ROUND(F12*G12,0)</f>
        <v/>
      </c>
      <c r="I12" s="43">
        <f>E12-H12</f>
        <v/>
      </c>
      <c r="J12" s="9" t="n">
        <v>3.4</v>
      </c>
      <c r="K12" s="10">
        <f>E12*J12</f>
        <v/>
      </c>
      <c r="L12" s="4" t="inlineStr">
        <is>
          <t>B</t>
        </is>
      </c>
      <c r="M12" s="44" t="n">
        <v>13.4</v>
      </c>
      <c r="N12" s="45">
        <f>E12*M12</f>
        <v/>
      </c>
      <c r="O12" s="5">
        <f>IF(I12&gt;=0,"On Target","Below Target")</f>
        <v/>
      </c>
    </row>
    <row r="13">
      <c r="A13" s="46" t="n">
        <v>46129</v>
      </c>
      <c r="B13" s="4" t="inlineStr">
        <is>
          <t>A1</t>
        </is>
      </c>
      <c r="C13" s="14" t="inlineStr">
        <is>
          <t>Hayward</t>
        </is>
      </c>
      <c r="D13" s="14" t="inlineStr">
        <is>
          <t>Grace Wetere</t>
        </is>
      </c>
      <c r="E13" s="4" t="n">
        <v>205</v>
      </c>
      <c r="F13" s="15">
        <f>IFERROR(VLOOKUP(B13,'Block Summary'!$A$4:$D$11,4,FALSE),0)</f>
        <v/>
      </c>
      <c r="G13" s="47">
        <f>IFERROR(VLOOKUP(B13,'Block Summary'!$A$4:$D$11,3,FALSE),0)</f>
        <v/>
      </c>
      <c r="H13" s="15">
        <f>ROUND(F13*G13,0)</f>
        <v/>
      </c>
      <c r="I13" s="48">
        <f>E13-H13</f>
        <v/>
      </c>
      <c r="J13" s="9" t="n">
        <v>3.3</v>
      </c>
      <c r="K13" s="18">
        <f>E13*J13</f>
        <v/>
      </c>
      <c r="L13" s="4" t="inlineStr">
        <is>
          <t>A</t>
        </is>
      </c>
      <c r="M13" s="44" t="n">
        <v>12.85</v>
      </c>
      <c r="N13" s="49">
        <f>E13*M13</f>
        <v/>
      </c>
      <c r="O13" s="14">
        <f>IF(I13&gt;=0,"On Target","Below Target")</f>
        <v/>
      </c>
    </row>
    <row r="14">
      <c r="A14" s="20" t="n"/>
      <c r="B14" s="20" t="n"/>
      <c r="C14" s="20" t="n"/>
      <c r="D14" s="21" t="inlineStr">
        <is>
          <t>TOTAL / AVERAGE</t>
        </is>
      </c>
      <c r="E14" s="22">
        <f>SUM(E4:E13)</f>
        <v/>
      </c>
      <c r="F14" s="20" t="n"/>
      <c r="G14" s="20" t="n"/>
      <c r="H14" s="22">
        <f>SUM(H4:H13)</f>
        <v/>
      </c>
      <c r="I14" s="50">
        <f>SUM(I4:I13)</f>
        <v/>
      </c>
      <c r="J14" s="20" t="n"/>
      <c r="K14" s="22">
        <f>SUM(K4:K13)</f>
        <v/>
      </c>
      <c r="L14" s="20" t="n"/>
      <c r="M14" s="20" t="n"/>
      <c r="N14" s="51">
        <f>SUM(N4:N13)</f>
        <v/>
      </c>
      <c r="O14" s="20" t="n"/>
    </row>
  </sheetData>
  <mergeCells count="1">
    <mergeCell ref="A1:O1"/>
  </mergeCells>
  <conditionalFormatting sqref="O4:O13">
    <cfRule type="expression" priority="1" dxfId="0" stopIfTrue="1">
      <formula>O4="On Target"</formula>
    </cfRule>
    <cfRule type="expression" priority="2" dxfId="1" stopIfTrue="1">
      <formula>O4="Below Target"</formula>
    </cfRule>
  </conditionalFormatting>
  <dataValidations count="2">
    <dataValidation sqref="C4:C13" showErrorMessage="1" showInputMessage="1" allowBlank="1" type="list">
      <formula1>"Hayward,SunGold,Gold3"</formula1>
    </dataValidation>
    <dataValidation sqref="L4:L13" showErrorMessage="1" showInputMessage="1" allowBlank="1" type="list">
      <formula1>"A,B,C"</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cols>
    <col width="12" customWidth="1" min="1" max="1"/>
    <col width="11" customWidth="1" min="2" max="2"/>
    <col width="10" customWidth="1" min="3" max="3"/>
    <col width="15" customWidth="1" min="4" max="4"/>
    <col width="17" customWidth="1" min="5" max="5"/>
    <col width="16" customWidth="1" min="6" max="6"/>
    <col width="14" customWidth="1" min="7" max="7"/>
    <col width="12" customWidth="1" min="8" max="8"/>
  </cols>
  <sheetData>
    <row r="1">
      <c r="A1" s="1" t="inlineStr">
        <is>
          <t>Orchard Block Reference &amp; Performance Summary</t>
        </is>
      </c>
    </row>
    <row r="2"/>
    <row r="3">
      <c r="A3" s="25" t="inlineStr">
        <is>
          <t>Block Code</t>
        </is>
      </c>
      <c r="B3" s="25" t="inlineStr">
        <is>
          <t>Variety</t>
        </is>
      </c>
      <c r="C3" s="25" t="inlineStr">
        <is>
          <t>Hectares</t>
        </is>
      </c>
      <c r="D3" s="25" t="inlineStr">
        <is>
          <t>Target Bins/Ha</t>
        </is>
      </c>
      <c r="E3" s="25" t="inlineStr">
        <is>
          <t>Total Bins Picked</t>
        </is>
      </c>
      <c r="F3" s="25" t="inlineStr">
        <is>
          <t>Total Payment ($)</t>
        </is>
      </c>
      <c r="G3" s="25" t="inlineStr">
        <is>
          <t>Actual Bins/Ha</t>
        </is>
      </c>
      <c r="H3" s="25" t="inlineStr">
        <is>
          <t>% of Target</t>
        </is>
      </c>
    </row>
    <row r="4">
      <c r="A4" s="4" t="inlineStr">
        <is>
          <t>A1</t>
        </is>
      </c>
      <c r="B4" s="5" t="inlineStr">
        <is>
          <t>Hayward</t>
        </is>
      </c>
      <c r="C4" s="52" t="n">
        <v>4.2</v>
      </c>
      <c r="D4" s="27" t="n">
        <v>68</v>
      </c>
      <c r="E4" s="10">
        <f>SUMIF('Bin Count Log'!$B$4:$B$13,A4,'Bin Count Log'!$E$4:$E$13)</f>
        <v/>
      </c>
      <c r="F4" s="45">
        <f>SUMIF('Bin Count Log'!$B$4:$B$13,A4,'Bin Count Log'!$N$4:$N$13)</f>
        <v/>
      </c>
      <c r="G4" s="42">
        <f>IFERROR(E4/C4,0)</f>
        <v/>
      </c>
      <c r="H4" s="53">
        <f>IFERROR(G4/D4,0)</f>
        <v/>
      </c>
    </row>
    <row r="5">
      <c r="A5" s="4" t="inlineStr">
        <is>
          <t>A2</t>
        </is>
      </c>
      <c r="B5" s="14" t="inlineStr">
        <is>
          <t>Hayward</t>
        </is>
      </c>
      <c r="C5" s="52" t="n">
        <v>3.8</v>
      </c>
      <c r="D5" s="27" t="n">
        <v>70</v>
      </c>
      <c r="E5" s="18">
        <f>SUMIF('Bin Count Log'!$B$4:$B$13,A5,'Bin Count Log'!$E$4:$E$13)</f>
        <v/>
      </c>
      <c r="F5" s="49">
        <f>SUMIF('Bin Count Log'!$B$4:$B$13,A5,'Bin Count Log'!$N$4:$N$13)</f>
        <v/>
      </c>
      <c r="G5" s="47">
        <f>IFERROR(E5/C5,0)</f>
        <v/>
      </c>
      <c r="H5" s="54">
        <f>IFERROR(G5/D5,0)</f>
        <v/>
      </c>
    </row>
    <row r="6">
      <c r="A6" s="4" t="inlineStr">
        <is>
          <t>B1</t>
        </is>
      </c>
      <c r="B6" s="5" t="inlineStr">
        <is>
          <t>SunGold</t>
        </is>
      </c>
      <c r="C6" s="52" t="n">
        <v>5.1</v>
      </c>
      <c r="D6" s="27" t="n">
        <v>82</v>
      </c>
      <c r="E6" s="10">
        <f>SUMIF('Bin Count Log'!$B$4:$B$13,A6,'Bin Count Log'!$E$4:$E$13)</f>
        <v/>
      </c>
      <c r="F6" s="45">
        <f>SUMIF('Bin Count Log'!$B$4:$B$13,A6,'Bin Count Log'!$N$4:$N$13)</f>
        <v/>
      </c>
      <c r="G6" s="42">
        <f>IFERROR(E6/C6,0)</f>
        <v/>
      </c>
      <c r="H6" s="53">
        <f>IFERROR(G6/D6,0)</f>
        <v/>
      </c>
    </row>
    <row r="7">
      <c r="A7" s="4" t="inlineStr">
        <is>
          <t>B2</t>
        </is>
      </c>
      <c r="B7" s="14" t="inlineStr">
        <is>
          <t>SunGold</t>
        </is>
      </c>
      <c r="C7" s="52" t="n">
        <v>4.6</v>
      </c>
      <c r="D7" s="27" t="n">
        <v>80</v>
      </c>
      <c r="E7" s="18">
        <f>SUMIF('Bin Count Log'!$B$4:$B$13,A7,'Bin Count Log'!$E$4:$E$13)</f>
        <v/>
      </c>
      <c r="F7" s="49">
        <f>SUMIF('Bin Count Log'!$B$4:$B$13,A7,'Bin Count Log'!$N$4:$N$13)</f>
        <v/>
      </c>
      <c r="G7" s="47">
        <f>IFERROR(E7/C7,0)</f>
        <v/>
      </c>
      <c r="H7" s="54">
        <f>IFERROR(G7/D7,0)</f>
        <v/>
      </c>
    </row>
    <row r="8">
      <c r="A8" s="4" t="inlineStr">
        <is>
          <t>C1</t>
        </is>
      </c>
      <c r="B8" s="5" t="inlineStr">
        <is>
          <t>Gold3</t>
        </is>
      </c>
      <c r="C8" s="52" t="n">
        <v>3.5</v>
      </c>
      <c r="D8" s="27" t="n">
        <v>75</v>
      </c>
      <c r="E8" s="10">
        <f>SUMIF('Bin Count Log'!$B$4:$B$13,A8,'Bin Count Log'!$E$4:$E$13)</f>
        <v/>
      </c>
      <c r="F8" s="45">
        <f>SUMIF('Bin Count Log'!$B$4:$B$13,A8,'Bin Count Log'!$N$4:$N$13)</f>
        <v/>
      </c>
      <c r="G8" s="42">
        <f>IFERROR(E8/C8,0)</f>
        <v/>
      </c>
      <c r="H8" s="53">
        <f>IFERROR(G8/D8,0)</f>
        <v/>
      </c>
    </row>
    <row r="9">
      <c r="A9" s="4" t="inlineStr">
        <is>
          <t>C2</t>
        </is>
      </c>
      <c r="B9" s="14" t="inlineStr">
        <is>
          <t>Gold3</t>
        </is>
      </c>
      <c r="C9" s="52" t="n">
        <v>3.9</v>
      </c>
      <c r="D9" s="27" t="n">
        <v>77</v>
      </c>
      <c r="E9" s="18">
        <f>SUMIF('Bin Count Log'!$B$4:$B$13,A9,'Bin Count Log'!$E$4:$E$13)</f>
        <v/>
      </c>
      <c r="F9" s="49">
        <f>SUMIF('Bin Count Log'!$B$4:$B$13,A9,'Bin Count Log'!$N$4:$N$13)</f>
        <v/>
      </c>
      <c r="G9" s="47">
        <f>IFERROR(E9/C9,0)</f>
        <v/>
      </c>
      <c r="H9" s="54">
        <f>IFERROR(G9/D9,0)</f>
        <v/>
      </c>
    </row>
    <row r="10">
      <c r="A10" s="4" t="inlineStr">
        <is>
          <t>D1</t>
        </is>
      </c>
      <c r="B10" s="5" t="inlineStr">
        <is>
          <t>Hayward</t>
        </is>
      </c>
      <c r="C10" s="52" t="n">
        <v>4.8</v>
      </c>
      <c r="D10" s="27" t="n">
        <v>65</v>
      </c>
      <c r="E10" s="10">
        <f>SUMIF('Bin Count Log'!$B$4:$B$13,A10,'Bin Count Log'!$E$4:$E$13)</f>
        <v/>
      </c>
      <c r="F10" s="45">
        <f>SUMIF('Bin Count Log'!$B$4:$B$13,A10,'Bin Count Log'!$N$4:$N$13)</f>
        <v/>
      </c>
      <c r="G10" s="42">
        <f>IFERROR(E10/C10,0)</f>
        <v/>
      </c>
      <c r="H10" s="53">
        <f>IFERROR(G10/D10,0)</f>
        <v/>
      </c>
    </row>
    <row r="11">
      <c r="A11" s="4" t="inlineStr">
        <is>
          <t>D2</t>
        </is>
      </c>
      <c r="B11" s="14" t="inlineStr">
        <is>
          <t>SunGold</t>
        </is>
      </c>
      <c r="C11" s="52" t="n">
        <v>5.5</v>
      </c>
      <c r="D11" s="27" t="n">
        <v>85</v>
      </c>
      <c r="E11" s="18">
        <f>SUMIF('Bin Count Log'!$B$4:$B$13,A11,'Bin Count Log'!$E$4:$E$13)</f>
        <v/>
      </c>
      <c r="F11" s="49">
        <f>SUMIF('Bin Count Log'!$B$4:$B$13,A11,'Bin Count Log'!$N$4:$N$13)</f>
        <v/>
      </c>
      <c r="G11" s="47">
        <f>IFERROR(E11/C11,0)</f>
        <v/>
      </c>
      <c r="H11" s="54">
        <f>IFERROR(G11/D11,0)</f>
        <v/>
      </c>
    </row>
    <row r="12">
      <c r="A12" s="20" t="n"/>
      <c r="B12" s="21" t="inlineStr">
        <is>
          <t>TOTAL</t>
        </is>
      </c>
      <c r="C12" s="55">
        <f>SUM(C4:C11)</f>
        <v/>
      </c>
      <c r="D12" s="20" t="n"/>
      <c r="E12" s="22">
        <f>SUM(E4:E11)</f>
        <v/>
      </c>
      <c r="F12" s="51">
        <f>SUM(F4:F11)</f>
        <v/>
      </c>
      <c r="G12" s="20" t="n"/>
      <c r="H12" s="20" t="n"/>
    </row>
    <row r="13"/>
    <row r="14">
      <c r="A14" s="31" t="inlineStr">
        <is>
          <t>Variety Breakdown</t>
        </is>
      </c>
    </row>
    <row r="15">
      <c r="A15" s="25" t="inlineStr">
        <is>
          <t>Variety</t>
        </is>
      </c>
      <c r="B15" s="25" t="inlineStr">
        <is>
          <t>Total Bins Picked</t>
        </is>
      </c>
      <c r="C15" s="25" t="inlineStr">
        <is>
          <t>Total Payment ($)</t>
        </is>
      </c>
    </row>
    <row r="16">
      <c r="A16" s="5" t="inlineStr">
        <is>
          <t>Hayward</t>
        </is>
      </c>
      <c r="B16" s="10">
        <f>SUMIF('Bin Count Log'!$C$4:$C$13,A16,'Bin Count Log'!$E$4:$E$13)</f>
        <v/>
      </c>
      <c r="C16" s="45">
        <f>SUMIF('Bin Count Log'!$C$4:$C$13,A16,'Bin Count Log'!$N$4:$N$13)</f>
        <v/>
      </c>
    </row>
    <row r="17">
      <c r="A17" s="14" t="inlineStr">
        <is>
          <t>SunGold</t>
        </is>
      </c>
      <c r="B17" s="18">
        <f>SUMIF('Bin Count Log'!$C$4:$C$13,A17,'Bin Count Log'!$E$4:$E$13)</f>
        <v/>
      </c>
      <c r="C17" s="49">
        <f>SUMIF('Bin Count Log'!$C$4:$C$13,A17,'Bin Count Log'!$N$4:$N$13)</f>
        <v/>
      </c>
    </row>
    <row r="18">
      <c r="A18" s="5" t="inlineStr">
        <is>
          <t>Gold3</t>
        </is>
      </c>
      <c r="B18" s="10">
        <f>SUMIF('Bin Count Log'!$C$4:$C$13,A18,'Bin Count Log'!$E$4:$E$13)</f>
        <v/>
      </c>
      <c r="C18" s="45">
        <f>SUMIF('Bin Count Log'!$C$4:$C$13,A18,'Bin Count Log'!$N$4:$N$13)</f>
        <v/>
      </c>
    </row>
  </sheetData>
  <mergeCells count="1">
    <mergeCell ref="A1:H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30" customWidth="1" min="1" max="1"/>
    <col width="16"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Kiwifruit Harvest Dashboard 2026</t>
        </is>
      </c>
    </row>
    <row r="2"/>
    <row r="3">
      <c r="A3" s="32" t="inlineStr">
        <is>
          <t>Total Bins Picked</t>
        </is>
      </c>
      <c r="B3" s="33">
        <f>'Block Summary'!E12</f>
        <v/>
      </c>
    </row>
    <row r="4">
      <c r="A4" s="32" t="inlineStr">
        <is>
          <t>Total Hectares Harvested</t>
        </is>
      </c>
      <c r="B4" s="56">
        <f>'Block Summary'!C12</f>
        <v/>
      </c>
    </row>
    <row r="5">
      <c r="A5" s="32" t="inlineStr">
        <is>
          <t>Total Payment ($)</t>
        </is>
      </c>
      <c r="B5" s="57">
        <f>'Block Summary'!F12</f>
        <v/>
      </c>
    </row>
    <row r="6">
      <c r="A6" s="32" t="inlineStr">
        <is>
          <t>Average Bins per Hectare (Actual)</t>
        </is>
      </c>
      <c r="B6" s="56">
        <f>IFERROR('Block Summary'!E12/'Block Summary'!C12,0)</f>
        <v/>
      </c>
    </row>
    <row r="7">
      <c r="A7" s="32" t="inlineStr">
        <is>
          <t>Blocks Below Target</t>
        </is>
      </c>
      <c r="B7" s="36">
        <f>COUNTIF('Bin Count Log'!O4:O13,"Below Target")</f>
        <v/>
      </c>
    </row>
  </sheetData>
  <mergeCells count="1">
    <mergeCell ref="A1:F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0" customWidth="1" min="1" max="1"/>
    <col width="90" customWidth="1" min="2" max="2"/>
  </cols>
  <sheetData>
    <row r="1">
      <c r="A1" s="1" t="inlineStr">
        <is>
          <t>Instructions - Kiwifruit Bin Count Tracker</t>
        </is>
      </c>
    </row>
    <row r="2"/>
    <row r="3">
      <c r="A3" s="25" t="inlineStr">
        <is>
          <t>Sheet</t>
        </is>
      </c>
      <c r="B3" s="25" t="inlineStr">
        <is>
          <t>Purpose and Usage</t>
        </is>
      </c>
    </row>
    <row r="4" ht="60" customHeight="1">
      <c r="A4" s="37" t="inlineStr">
        <is>
          <t>Bin Count Log</t>
        </is>
      </c>
      <c r="B4" s="38" t="inlineStr">
        <is>
          <t>Record daily bin counts per block and contractor. Enter Date, Block Code, Bins Picked, Avg Bin Weight, Quality Grade and Rate per Bin in the yellow cells. Target bins, hectares, variance, total kg, total payment and status are calculated automatically.</t>
        </is>
      </c>
    </row>
    <row r="5" ht="60" customHeight="1">
      <c r="A5" s="39" t="inlineStr">
        <is>
          <t>Block Summary</t>
        </is>
      </c>
      <c r="B5" s="40" t="inlineStr">
        <is>
          <t>Reference table of orchard blocks with hectares and target bins per hectare (yellow cells are editable). Totals, actual bins per hectare and percentage of target are calculated using SUMIF and VLOOKUP formulas linked to the Bin Count Log.</t>
        </is>
      </c>
    </row>
    <row r="6" ht="60" customHeight="1">
      <c r="A6" s="37" t="inlineStr">
        <is>
          <t>Dashboard</t>
        </is>
      </c>
      <c r="B6" s="38" t="inlineStr">
        <is>
          <t>Key harvest metrics and charts showing bins picked per block, variety breakdown and bins picked over time. All figures update automatically as new data is entered in the log.</t>
        </is>
      </c>
    </row>
    <row r="7" ht="60" customHeight="1">
      <c r="A7" s="39" t="inlineStr">
        <is>
          <t>Instructions</t>
        </is>
      </c>
      <c r="B7" s="40" t="inlineStr">
        <is>
          <t>This sheet. Explains how to use each part of the workbook.</t>
        </is>
      </c>
    </row>
    <row r="8" ht="60" customHeight="1">
      <c r="A8" s="37" t="inlineStr">
        <is>
          <t>General Tips</t>
        </is>
      </c>
      <c r="B8" s="38" t="inlineStr">
        <is>
          <t>Standard NZ kiwifruit bins hold approximately 320-350kg of fruit depending on variety. Update Block Summary hectares and target rates at the start of each season. Use the dropdown lists in the Variety and Quality Grade columns to keep data consistent.</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2026-07-16T13:01:44Z</dcterms:created>
  <dcterms:modified xmlns:dcterms="http://purl.org/dc/terms/" xmlns:xsi="http://www.w3.org/2001/XMLSchema-instance" xsi:type="dcterms:W3CDTF">2026-07-16T13:01:44Z</dcterms:modified>
</cp:coreProperties>
</file>