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pray Diary" sheetId="1" state="visible" r:id="rId1"/>
    <sheet xmlns:r="http://schemas.openxmlformats.org/officeDocument/2006/relationships" name="Chemical Register"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6">
    <font>
      <name val="Calibri"/>
      <family val="2"/>
      <color theme="1"/>
      <sz val="11"/>
      <scheme val="minor"/>
    </font>
    <font>
      <name val="Calibri"/>
      <b val="1"/>
      <color rgb="000F766E"/>
      <sz val="16"/>
    </font>
    <font>
      <i val="1"/>
      <color rgb="00374151"/>
      <sz val="10"/>
    </font>
    <font>
      <name val="Calibri"/>
      <b val="1"/>
      <color rgb="00FFFFFF"/>
      <sz val="11"/>
    </font>
    <font>
      <b val="1"/>
    </font>
    <font>
      <b val="1"/>
      <color rgb="00FFFFFF"/>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8">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164"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0" fontId="0" fillId="4" borderId="1" applyAlignment="1" pivotButton="0" quotePrefix="0" xfId="0">
      <alignment horizontal="left" vertical="center" wrapText="1"/>
    </xf>
    <xf numFmtId="1" fontId="0" fillId="4" borderId="1" applyAlignment="1" pivotButton="0" quotePrefix="0" xfId="0">
      <alignment horizontal="center" vertical="center" wrapText="1"/>
    </xf>
    <xf numFmtId="2" fontId="0" fillId="4" borderId="1" applyAlignment="1" pivotButton="0" quotePrefix="0" xfId="0">
      <alignment horizontal="center" vertical="center" wrapText="1"/>
    </xf>
    <xf numFmtId="2"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4" fontId="0" fillId="4" borderId="1" applyAlignment="1" pivotButton="0" quotePrefix="0" xfId="0">
      <alignment horizontal="center" vertical="center" wrapText="1"/>
    </xf>
    <xf numFmtId="1" fontId="0" fillId="3"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5" borderId="1" applyAlignment="1" pivotButton="0" quotePrefix="0" xfId="0">
      <alignment horizontal="left" vertical="center" wrapText="1"/>
    </xf>
    <xf numFmtId="1" fontId="0" fillId="5" borderId="1" applyAlignment="1" pivotButton="0" quotePrefix="0" xfId="0">
      <alignment horizontal="center" vertical="center" wrapText="1"/>
    </xf>
    <xf numFmtId="2"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0" fontId="5" fillId="6" borderId="1" applyAlignment="1" pivotButton="0" quotePrefix="0" xfId="0">
      <alignment horizontal="left" vertical="center" wrapText="1"/>
    </xf>
    <xf numFmtId="0" fontId="5" fillId="6" borderId="1" pivotButton="0" quotePrefix="0" xfId="0"/>
    <xf numFmtId="2" fontId="5" fillId="6" borderId="1" pivotButton="0" quotePrefix="0" xfId="0"/>
    <xf numFmtId="165" fontId="5" fillId="6" borderId="1" pivotButton="0" quotePrefix="0" xfId="0"/>
    <xf numFmtId="166" fontId="5" fillId="6" borderId="1" pivotButton="0" quotePrefix="0" xfId="0"/>
    <xf numFmtId="0" fontId="1" fillId="0" borderId="0" pivotButton="0" quotePrefix="0" xfId="0"/>
    <xf numFmtId="0" fontId="3" fillId="6" borderId="1" applyAlignment="1" pivotButton="0" quotePrefix="0" xfId="0">
      <alignment horizontal="center" vertical="center" wrapText="1"/>
    </xf>
    <xf numFmtId="166" fontId="0" fillId="4" borderId="1" applyAlignment="1" pivotButton="0" quotePrefix="0" xfId="0">
      <alignment horizontal="center" vertical="center" wrapText="1"/>
    </xf>
    <xf numFmtId="2" fontId="0" fillId="4" borderId="1" pivotButton="0" quotePrefix="0" xfId="0"/>
    <xf numFmtId="165" fontId="0" fillId="4" borderId="1" pivotButton="0" quotePrefix="0" xfId="0"/>
    <xf numFmtId="2" fontId="0" fillId="5" borderId="1" pivotButton="0" quotePrefix="0" xfId="0"/>
    <xf numFmtId="165" fontId="0" fillId="5" borderId="1" pivotButton="0" quotePrefix="0" xfId="0"/>
    <xf numFmtId="0" fontId="4" fillId="4" borderId="1" applyAlignment="1" pivotButton="0" quotePrefix="0" xfId="0">
      <alignment horizontal="left" vertical="top" wrapText="1"/>
    </xf>
    <xf numFmtId="0" fontId="0" fillId="4" borderId="1" applyAlignment="1" pivotButton="0" quotePrefix="0" xfId="0">
      <alignment horizontal="left" vertical="top" wrapText="1"/>
    </xf>
    <xf numFmtId="0" fontId="4" fillId="5" borderId="1" applyAlignment="1" pivotButton="0" quotePrefix="0" xfId="0">
      <alignment horizontal="left" vertical="top" wrapText="1"/>
    </xf>
    <xf numFmtId="0" fontId="0" fillId="5" borderId="1" applyAlignment="1" pivotButton="0" quotePrefix="0" xfId="0">
      <alignment horizontal="left" vertical="top" wrapText="1"/>
    </xf>
    <xf numFmtId="164"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4" fontId="0" fillId="4" borderId="1" applyAlignment="1" pivotButton="0" quotePrefix="0" xfId="0">
      <alignment horizontal="center" vertical="center" wrapText="1"/>
    </xf>
    <xf numFmtId="165" fontId="0" fillId="5" borderId="1" applyAlignment="1" pivotButton="0" quotePrefix="0" xfId="0">
      <alignment horizontal="center" vertical="center" wrapText="1"/>
    </xf>
    <xf numFmtId="164" fontId="0" fillId="5" borderId="1" applyAlignment="1" pivotButton="0" quotePrefix="0" xfId="0">
      <alignment horizontal="center" vertical="center" wrapText="1"/>
    </xf>
    <xf numFmtId="0" fontId="0" fillId="0" borderId="4" pivotButton="0" quotePrefix="0" xfId="0"/>
    <xf numFmtId="0" fontId="0" fillId="0" borderId="5" pivotButton="0" quotePrefix="0" xfId="0"/>
    <xf numFmtId="165" fontId="5" fillId="6" borderId="1" pivotButton="0" quotePrefix="0" xfId="0"/>
    <xf numFmtId="166" fontId="5" fillId="6" borderId="1" pivotButton="0" quotePrefix="0" xfId="0"/>
    <xf numFmtId="166" fontId="0" fillId="4" borderId="1" applyAlignment="1" pivotButton="0" quotePrefix="0" xfId="0">
      <alignment horizontal="center" vertical="center" wrapText="1"/>
    </xf>
    <xf numFmtId="165" fontId="0" fillId="4" borderId="1" pivotButton="0" quotePrefix="0" xfId="0"/>
    <xf numFmtId="165" fontId="0" fillId="5" borderId="1" pivotButton="0" quotePrefix="0" xfId="0"/>
  </cellXfs>
  <cellStyles count="1">
    <cellStyle name="Normal" xfId="0" builtinId="0" hidden="0"/>
  </cellStyles>
  <dxfs count="1">
    <dxf>
      <font>
        <b val="1"/>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Area Sprayed by Product (Ha)</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'Dashboard'!$A$13:$A$22</f>
            </numRef>
          </cat>
          <val>
            <numRef>
              <f>'Dashboard'!$B$13:$B$22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Product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Hectares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Spray Cost Share by Product</a:t>
            </a:r>
          </a:p>
        </rich>
      </tx>
    </title>
    <plotArea>
      <pieChart>
        <varyColors val="1"/>
        <ser>
          <idx val="0"/>
          <order val="0"/>
          <tx>
            <strRef>
              <f>'Dashboard'!C12</f>
            </strRef>
          </tx>
          <spPr>
            <a:ln xmlns:a="http://schemas.openxmlformats.org/drawingml/2006/main">
              <a:prstDash val="solid"/>
            </a:ln>
          </spPr>
          <cat>
            <numRef>
              <f>'Dashboard'!$A$13:$A$22</f>
            </numRef>
          </cat>
          <val>
            <numRef>
              <f>'Dashboard'!$C$13:$C$22</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Spray Cost by Block ($)</a:t>
            </a:r>
          </a:p>
        </rich>
      </tx>
    </title>
    <plotArea>
      <lineChart>
        <grouping val="standard"/>
        <ser>
          <idx val="0"/>
          <order val="0"/>
          <tx>
            <strRef>
              <f>'Dashboard'!F12</f>
            </strRef>
          </tx>
          <spPr>
            <a:ln xmlns:a="http://schemas.openxmlformats.org/drawingml/2006/main" w="20000">
              <a:solidFill>
                <a:srgbClr val="DC2626"/>
              </a:solidFill>
              <a:prstDash val="solid"/>
            </a:ln>
          </spPr>
          <marker>
            <symbol val="none"/>
            <spPr>
              <a:ln xmlns:a="http://schemas.openxmlformats.org/drawingml/2006/main">
                <a:prstDash val="solid"/>
              </a:ln>
            </spPr>
          </marker>
          <cat>
            <numRef>
              <f>'Dashboard'!$E$13:$E$17</f>
            </numRef>
          </cat>
          <val>
            <numRef>
              <f>'Dashboard'!$F$13:$F$17</f>
            </numRef>
          </val>
        </ser>
        <axId val="10"/>
        <axId val="100"/>
      </lineChart>
      <catAx>
        <axId val="10"/>
        <scaling>
          <orientation val="minMax"/>
        </scaling>
        <axPos val="l"/>
        <title>
          <tx>
            <rich>
              <a:bodyPr xmlns:a="http://schemas.openxmlformats.org/drawingml/2006/main"/>
              <a:p xmlns:a="http://schemas.openxmlformats.org/drawingml/2006/main">
                <a:pPr>
                  <a:defRPr/>
                </a:pPr>
                <a:r>
                  <a:t>Block</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Cost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20</row>
      <rowOff>0</rowOff>
    </from>
    <ext cx="648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38</row>
      <rowOff>0</rowOff>
    </from>
    <ext cx="648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5"/>
  <sheetViews>
    <sheetView workbookViewId="0">
      <pane ySplit="4" topLeftCell="A5" activePane="bottomLeft" state="frozen"/>
      <selection pane="bottomLeft" activeCell="A1" sqref="A1"/>
    </sheetView>
  </sheetViews>
  <sheetFormatPr baseColWidth="8" defaultRowHeight="15"/>
  <cols>
    <col width="12" customWidth="1" min="1" max="1"/>
    <col width="22" customWidth="1" min="2" max="2"/>
    <col width="10" customWidth="1" min="3" max="3"/>
    <col width="20" customWidth="1" min="4" max="4"/>
    <col width="20" customWidth="1" min="5" max="5"/>
    <col width="12" customWidth="1" min="6" max="6"/>
    <col width="11" customWidth="1" min="7" max="7"/>
    <col width="13" customWidth="1" min="8" max="8"/>
    <col width="13" customWidth="1" min="9" max="9"/>
    <col width="12" customWidth="1" min="10" max="10"/>
    <col width="13" customWidth="1" min="11" max="11"/>
    <col width="15" customWidth="1" min="12" max="12"/>
    <col width="12" customWidth="1" min="13" max="13"/>
    <col width="20" customWidth="1" min="14" max="14"/>
    <col width="15" customWidth="1" min="15" max="15"/>
    <col width="22" customWidth="1" min="16" max="16"/>
  </cols>
  <sheetData>
    <row r="1" ht="24" customHeight="1">
      <c r="A1" s="1" t="inlineStr">
        <is>
          <t>Aotearoa Orchards Ltd - Orchard Spray Diary 2026</t>
        </is>
      </c>
    </row>
    <row r="2">
      <c r="A2" s="2" t="inlineStr">
        <is>
          <t>NZBN: 9429041234567    Orchard: Hawke's Bay Growing Region    Season: 2025/26</t>
        </is>
      </c>
    </row>
    <row r="3"/>
    <row r="4" ht="36" customHeight="1">
      <c r="A4" s="3" t="inlineStr">
        <is>
          <t>Date</t>
        </is>
      </c>
      <c r="B4" s="3" t="inlineStr">
        <is>
          <t>Block</t>
        </is>
      </c>
      <c r="C4" s="3" t="inlineStr">
        <is>
          <t>Crop</t>
        </is>
      </c>
      <c r="D4" s="3" t="inlineStr">
        <is>
          <t>Product Name</t>
        </is>
      </c>
      <c r="E4" s="3" t="inlineStr">
        <is>
          <t>Active Ingredient</t>
        </is>
      </c>
      <c r="F4" s="3" t="inlineStr">
        <is>
          <t>Withholding Period (days)</t>
        </is>
      </c>
      <c r="G4" s="3" t="inlineStr">
        <is>
          <t>Rate per Ha</t>
        </is>
      </c>
      <c r="H4" s="3" t="inlineStr">
        <is>
          <t>Area Sprayed (Ha)</t>
        </is>
      </c>
      <c r="I4" s="3" t="inlineStr">
        <is>
          <t>Total Product Used (L)</t>
        </is>
      </c>
      <c r="J4" s="3" t="inlineStr">
        <is>
          <t>Cost per Litre ($)</t>
        </is>
      </c>
      <c r="K4" s="3" t="inlineStr">
        <is>
          <t>Total Cost ($)</t>
        </is>
      </c>
      <c r="L4" s="3" t="inlineStr">
        <is>
          <t>Next Safe Harvest Date</t>
        </is>
      </c>
      <c r="M4" s="3" t="inlineStr">
        <is>
          <t>Wind Speed (km/h)</t>
        </is>
      </c>
      <c r="N4" s="3" t="inlineStr">
        <is>
          <t>Weather Assessment</t>
        </is>
      </c>
      <c r="O4" s="3" t="inlineStr">
        <is>
          <t>Applicator</t>
        </is>
      </c>
      <c r="P4" s="3" t="inlineStr">
        <is>
          <t>Notes</t>
        </is>
      </c>
    </row>
    <row r="5">
      <c r="A5" s="36" t="n">
        <v>46272</v>
      </c>
      <c r="B5" s="5" t="inlineStr">
        <is>
          <t>Block A - Royal Gala</t>
        </is>
      </c>
      <c r="C5" s="5" t="inlineStr">
        <is>
          <t>Apples</t>
        </is>
      </c>
      <c r="D5" s="5" t="inlineStr">
        <is>
          <t>Copper Oxychloride</t>
        </is>
      </c>
      <c r="E5" s="6">
        <f>IFERROR(VLOOKUP(D5,'Chemical Register'!$A$2:$G$11,2,FALSE),"")</f>
        <v/>
      </c>
      <c r="F5" s="7">
        <f>IFERROR(VLOOKUP(D5,'Chemical Register'!$A$2:$G$11,5,FALSE),0)</f>
        <v/>
      </c>
      <c r="G5" s="8">
        <f>IFERROR(VLOOKUP(D5,'Chemical Register'!$A$2:$G$11,4,FALSE),0)</f>
        <v/>
      </c>
      <c r="H5" s="9" t="n">
        <v>4.2</v>
      </c>
      <c r="I5" s="8">
        <f>ROUND(G5*H5,2)</f>
        <v/>
      </c>
      <c r="J5" s="37">
        <f>IFERROR(VLOOKUP(D5,'Chemical Register'!$A$2:$G$11,6,FALSE),0)</f>
        <v/>
      </c>
      <c r="K5" s="37">
        <f>ROUND(I5*J5,2)</f>
        <v/>
      </c>
      <c r="L5" s="38">
        <f>IF(A5="","",A5+F5)</f>
        <v/>
      </c>
      <c r="M5" s="12" t="n">
        <v>12</v>
      </c>
      <c r="N5" s="13">
        <f>IF(M5&lt;15,"Suitable","Caution - High Wind")</f>
        <v/>
      </c>
      <c r="O5" s="5" t="inlineStr">
        <is>
          <t>Aroha Ngata</t>
        </is>
      </c>
      <c r="P5" s="5" t="inlineStr">
        <is>
          <t>Fine, light breeze</t>
        </is>
      </c>
    </row>
    <row r="6">
      <c r="A6" s="36" t="n">
        <v>46279</v>
      </c>
      <c r="B6" s="5" t="inlineStr">
        <is>
          <t>Block B - Braeburn</t>
        </is>
      </c>
      <c r="C6" s="5" t="inlineStr">
        <is>
          <t>Apples</t>
        </is>
      </c>
      <c r="D6" s="5" t="inlineStr">
        <is>
          <t>Mancozeb 750WP</t>
        </is>
      </c>
      <c r="E6" s="14">
        <f>IFERROR(VLOOKUP(D6,'Chemical Register'!$A$2:$G$11,2,FALSE),"")</f>
        <v/>
      </c>
      <c r="F6" s="15">
        <f>IFERROR(VLOOKUP(D6,'Chemical Register'!$A$2:$G$11,5,FALSE),0)</f>
        <v/>
      </c>
      <c r="G6" s="16">
        <f>IFERROR(VLOOKUP(D6,'Chemical Register'!$A$2:$G$11,4,FALSE),0)</f>
        <v/>
      </c>
      <c r="H6" s="9" t="n">
        <v>5.8</v>
      </c>
      <c r="I6" s="16">
        <f>ROUND(G6*H6,2)</f>
        <v/>
      </c>
      <c r="J6" s="39">
        <f>IFERROR(VLOOKUP(D6,'Chemical Register'!$A$2:$G$11,6,FALSE),0)</f>
        <v/>
      </c>
      <c r="K6" s="39">
        <f>ROUND(I6*J6,2)</f>
        <v/>
      </c>
      <c r="L6" s="40">
        <f>IF(A6="","",A6+F6)</f>
        <v/>
      </c>
      <c r="M6" s="12" t="n">
        <v>8</v>
      </c>
      <c r="N6" s="19">
        <f>IF(M6&lt;15,"Suitable","Caution - High Wind")</f>
        <v/>
      </c>
      <c r="O6" s="5" t="inlineStr">
        <is>
          <t>Liam Thompson</t>
        </is>
      </c>
      <c r="P6" s="5" t="inlineStr">
        <is>
          <t>Overcast, calm</t>
        </is>
      </c>
    </row>
    <row r="7">
      <c r="A7" s="36" t="n">
        <v>46286</v>
      </c>
      <c r="B7" s="5" t="inlineStr">
        <is>
          <t>Block C - Envy</t>
        </is>
      </c>
      <c r="C7" s="5" t="inlineStr">
        <is>
          <t>Apples</t>
        </is>
      </c>
      <c r="D7" s="5" t="inlineStr">
        <is>
          <t>Captan 800WG</t>
        </is>
      </c>
      <c r="E7" s="6">
        <f>IFERROR(VLOOKUP(D7,'Chemical Register'!$A$2:$G$11,2,FALSE),"")</f>
        <v/>
      </c>
      <c r="F7" s="7">
        <f>IFERROR(VLOOKUP(D7,'Chemical Register'!$A$2:$G$11,5,FALSE),0)</f>
        <v/>
      </c>
      <c r="G7" s="8">
        <f>IFERROR(VLOOKUP(D7,'Chemical Register'!$A$2:$G$11,4,FALSE),0)</f>
        <v/>
      </c>
      <c r="H7" s="9" t="n">
        <v>3.6</v>
      </c>
      <c r="I7" s="8">
        <f>ROUND(G7*H7,2)</f>
        <v/>
      </c>
      <c r="J7" s="37">
        <f>IFERROR(VLOOKUP(D7,'Chemical Register'!$A$2:$G$11,6,FALSE),0)</f>
        <v/>
      </c>
      <c r="K7" s="37">
        <f>ROUND(I7*J7,2)</f>
        <v/>
      </c>
      <c r="L7" s="38">
        <f>IF(A7="","",A7+F7)</f>
        <v/>
      </c>
      <c r="M7" s="12" t="n">
        <v>18</v>
      </c>
      <c r="N7" s="13">
        <f>IF(M7&lt;15,"Suitable","Caution - High Wind")</f>
        <v/>
      </c>
      <c r="O7" s="5" t="inlineStr">
        <is>
          <t>Charlotte Reid</t>
        </is>
      </c>
      <c r="P7" s="5" t="inlineStr">
        <is>
          <t>Fine, moderate wind</t>
        </is>
      </c>
    </row>
    <row r="8">
      <c r="A8" s="36" t="n">
        <v>46297</v>
      </c>
      <c r="B8" s="5" t="inlineStr">
        <is>
          <t>Block D - Jazz</t>
        </is>
      </c>
      <c r="C8" s="5" t="inlineStr">
        <is>
          <t>Apples</t>
        </is>
      </c>
      <c r="D8" s="5" t="inlineStr">
        <is>
          <t>Movento 100SC</t>
        </is>
      </c>
      <c r="E8" s="14">
        <f>IFERROR(VLOOKUP(D8,'Chemical Register'!$A$2:$G$11,2,FALSE),"")</f>
        <v/>
      </c>
      <c r="F8" s="15">
        <f>IFERROR(VLOOKUP(D8,'Chemical Register'!$A$2:$G$11,5,FALSE),0)</f>
        <v/>
      </c>
      <c r="G8" s="16">
        <f>IFERROR(VLOOKUP(D8,'Chemical Register'!$A$2:$G$11,4,FALSE),0)</f>
        <v/>
      </c>
      <c r="H8" s="9" t="n">
        <v>4.9</v>
      </c>
      <c r="I8" s="16">
        <f>ROUND(G8*H8,2)</f>
        <v/>
      </c>
      <c r="J8" s="39">
        <f>IFERROR(VLOOKUP(D8,'Chemical Register'!$A$2:$G$11,6,FALSE),0)</f>
        <v/>
      </c>
      <c r="K8" s="39">
        <f>ROUND(I8*J8,2)</f>
        <v/>
      </c>
      <c r="L8" s="40">
        <f>IF(A8="","",A8+F8)</f>
        <v/>
      </c>
      <c r="M8" s="12" t="n">
        <v>10</v>
      </c>
      <c r="N8" s="19">
        <f>IF(M8&lt;15,"Suitable","Caution - High Wind")</f>
        <v/>
      </c>
      <c r="O8" s="5" t="inlineStr">
        <is>
          <t>Manaia Walker</t>
        </is>
      </c>
      <c r="P8" s="5" t="inlineStr">
        <is>
          <t>Fine, light breeze</t>
        </is>
      </c>
    </row>
    <row r="9">
      <c r="A9" s="36" t="n">
        <v>46304</v>
      </c>
      <c r="B9" s="5" t="inlineStr">
        <is>
          <t>Block E - Pacific Rose</t>
        </is>
      </c>
      <c r="C9" s="5" t="inlineStr">
        <is>
          <t>Apples</t>
        </is>
      </c>
      <c r="D9" s="5" t="inlineStr">
        <is>
          <t>Success Neo</t>
        </is>
      </c>
      <c r="E9" s="6">
        <f>IFERROR(VLOOKUP(D9,'Chemical Register'!$A$2:$G$11,2,FALSE),"")</f>
        <v/>
      </c>
      <c r="F9" s="7">
        <f>IFERROR(VLOOKUP(D9,'Chemical Register'!$A$2:$G$11,5,FALSE),0)</f>
        <v/>
      </c>
      <c r="G9" s="8">
        <f>IFERROR(VLOOKUP(D9,'Chemical Register'!$A$2:$G$11,4,FALSE),0)</f>
        <v/>
      </c>
      <c r="H9" s="9" t="n">
        <v>6.1</v>
      </c>
      <c r="I9" s="8">
        <f>ROUND(G9*H9,2)</f>
        <v/>
      </c>
      <c r="J9" s="37">
        <f>IFERROR(VLOOKUP(D9,'Chemical Register'!$A$2:$G$11,6,FALSE),0)</f>
        <v/>
      </c>
      <c r="K9" s="37">
        <f>ROUND(I9*J9,2)</f>
        <v/>
      </c>
      <c r="L9" s="38">
        <f>IF(A9="","",A9+F9)</f>
        <v/>
      </c>
      <c r="M9" s="12" t="n">
        <v>6</v>
      </c>
      <c r="N9" s="13">
        <f>IF(M9&lt;15,"Suitable","Caution - High Wind")</f>
        <v/>
      </c>
      <c r="O9" s="5" t="inlineStr">
        <is>
          <t>Sophie Adams</t>
        </is>
      </c>
      <c r="P9" s="5" t="inlineStr">
        <is>
          <t>Calm, overcast</t>
        </is>
      </c>
    </row>
    <row r="10">
      <c r="A10" s="36" t="n">
        <v>46311</v>
      </c>
      <c r="B10" s="5" t="inlineStr">
        <is>
          <t>Block A - Royal Gala</t>
        </is>
      </c>
      <c r="C10" s="5" t="inlineStr">
        <is>
          <t>Apples</t>
        </is>
      </c>
      <c r="D10" s="5" t="inlineStr">
        <is>
          <t>Delegate WG</t>
        </is>
      </c>
      <c r="E10" s="14">
        <f>IFERROR(VLOOKUP(D10,'Chemical Register'!$A$2:$G$11,2,FALSE),"")</f>
        <v/>
      </c>
      <c r="F10" s="15">
        <f>IFERROR(VLOOKUP(D10,'Chemical Register'!$A$2:$G$11,5,FALSE),0)</f>
        <v/>
      </c>
      <c r="G10" s="16">
        <f>IFERROR(VLOOKUP(D10,'Chemical Register'!$A$2:$G$11,4,FALSE),0)</f>
        <v/>
      </c>
      <c r="H10" s="9" t="n">
        <v>4.2</v>
      </c>
      <c r="I10" s="16">
        <f>ROUND(G10*H10,2)</f>
        <v/>
      </c>
      <c r="J10" s="39">
        <f>IFERROR(VLOOKUP(D10,'Chemical Register'!$A$2:$G$11,6,FALSE),0)</f>
        <v/>
      </c>
      <c r="K10" s="39">
        <f>ROUND(I10*J10,2)</f>
        <v/>
      </c>
      <c r="L10" s="40">
        <f>IF(A10="","",A10+F10)</f>
        <v/>
      </c>
      <c r="M10" s="12" t="n">
        <v>22</v>
      </c>
      <c r="N10" s="19">
        <f>IF(M10&lt;15,"Suitable","Caution - High Wind")</f>
        <v/>
      </c>
      <c r="O10" s="5" t="inlineStr">
        <is>
          <t>Hemi Wiremu</t>
        </is>
      </c>
      <c r="P10" s="5" t="inlineStr">
        <is>
          <t>Light rain risk</t>
        </is>
      </c>
    </row>
    <row r="11">
      <c r="A11" s="36" t="n">
        <v>46318</v>
      </c>
      <c r="B11" s="5" t="inlineStr">
        <is>
          <t>Block B - Braeburn</t>
        </is>
      </c>
      <c r="C11" s="5" t="inlineStr">
        <is>
          <t>Apples</t>
        </is>
      </c>
      <c r="D11" s="5" t="inlineStr">
        <is>
          <t>Regent 200SC</t>
        </is>
      </c>
      <c r="E11" s="6">
        <f>IFERROR(VLOOKUP(D11,'Chemical Register'!$A$2:$G$11,2,FALSE),"")</f>
        <v/>
      </c>
      <c r="F11" s="7">
        <f>IFERROR(VLOOKUP(D11,'Chemical Register'!$A$2:$G$11,5,FALSE),0)</f>
        <v/>
      </c>
      <c r="G11" s="8">
        <f>IFERROR(VLOOKUP(D11,'Chemical Register'!$A$2:$G$11,4,FALSE),0)</f>
        <v/>
      </c>
      <c r="H11" s="9" t="n">
        <v>5.8</v>
      </c>
      <c r="I11" s="8">
        <f>ROUND(G11*H11,2)</f>
        <v/>
      </c>
      <c r="J11" s="37">
        <f>IFERROR(VLOOKUP(D11,'Chemical Register'!$A$2:$G$11,6,FALSE),0)</f>
        <v/>
      </c>
      <c r="K11" s="37">
        <f>ROUND(I11*J11,2)</f>
        <v/>
      </c>
      <c r="L11" s="38">
        <f>IF(A11="","",A11+F11)</f>
        <v/>
      </c>
      <c r="M11" s="12" t="n">
        <v>9</v>
      </c>
      <c r="N11" s="13">
        <f>IF(M11&lt;15,"Suitable","Caution - High Wind")</f>
        <v/>
      </c>
      <c r="O11" s="5" t="inlineStr">
        <is>
          <t>Aroha Ngata</t>
        </is>
      </c>
      <c r="P11" s="5" t="inlineStr">
        <is>
          <t>Fine, calm</t>
        </is>
      </c>
    </row>
    <row r="12">
      <c r="A12" s="36" t="n">
        <v>46325</v>
      </c>
      <c r="B12" s="5" t="inlineStr">
        <is>
          <t>Block C - Envy</t>
        </is>
      </c>
      <c r="C12" s="5" t="inlineStr">
        <is>
          <t>Apples</t>
        </is>
      </c>
      <c r="D12" s="5" t="inlineStr">
        <is>
          <t>Prophyl Fungicide</t>
        </is>
      </c>
      <c r="E12" s="14">
        <f>IFERROR(VLOOKUP(D12,'Chemical Register'!$A$2:$G$11,2,FALSE),"")</f>
        <v/>
      </c>
      <c r="F12" s="15">
        <f>IFERROR(VLOOKUP(D12,'Chemical Register'!$A$2:$G$11,5,FALSE),0)</f>
        <v/>
      </c>
      <c r="G12" s="16">
        <f>IFERROR(VLOOKUP(D12,'Chemical Register'!$A$2:$G$11,4,FALSE),0)</f>
        <v/>
      </c>
      <c r="H12" s="9" t="n">
        <v>3.6</v>
      </c>
      <c r="I12" s="16">
        <f>ROUND(G12*H12,2)</f>
        <v/>
      </c>
      <c r="J12" s="39">
        <f>IFERROR(VLOOKUP(D12,'Chemical Register'!$A$2:$G$11,6,FALSE),0)</f>
        <v/>
      </c>
      <c r="K12" s="39">
        <f>ROUND(I12*J12,2)</f>
        <v/>
      </c>
      <c r="L12" s="40">
        <f>IF(A12="","",A12+F12)</f>
        <v/>
      </c>
      <c r="M12" s="12" t="n">
        <v>25</v>
      </c>
      <c r="N12" s="19">
        <f>IF(M12&lt;15,"Suitable","Caution - High Wind")</f>
        <v/>
      </c>
      <c r="O12" s="5" t="inlineStr">
        <is>
          <t>Liam Thompson</t>
        </is>
      </c>
      <c r="P12" s="5" t="inlineStr">
        <is>
          <t>Fine, gusty</t>
        </is>
      </c>
    </row>
    <row r="13">
      <c r="A13" s="36" t="n">
        <v>46332</v>
      </c>
      <c r="B13" s="5" t="inlineStr">
        <is>
          <t>Block D - Jazz</t>
        </is>
      </c>
      <c r="C13" s="5" t="inlineStr">
        <is>
          <t>Apples</t>
        </is>
      </c>
      <c r="D13" s="5" t="inlineStr">
        <is>
          <t>Bravo Weatherstik</t>
        </is>
      </c>
      <c r="E13" s="6">
        <f>IFERROR(VLOOKUP(D13,'Chemical Register'!$A$2:$G$11,2,FALSE),"")</f>
        <v/>
      </c>
      <c r="F13" s="7">
        <f>IFERROR(VLOOKUP(D13,'Chemical Register'!$A$2:$G$11,5,FALSE),0)</f>
        <v/>
      </c>
      <c r="G13" s="8">
        <f>IFERROR(VLOOKUP(D13,'Chemical Register'!$A$2:$G$11,4,FALSE),0)</f>
        <v/>
      </c>
      <c r="H13" s="9" t="n">
        <v>4.9</v>
      </c>
      <c r="I13" s="8">
        <f>ROUND(G13*H13,2)</f>
        <v/>
      </c>
      <c r="J13" s="37">
        <f>IFERROR(VLOOKUP(D13,'Chemical Register'!$A$2:$G$11,6,FALSE),0)</f>
        <v/>
      </c>
      <c r="K13" s="37">
        <f>ROUND(I13*J13,2)</f>
        <v/>
      </c>
      <c r="L13" s="38">
        <f>IF(A13="","",A13+F13)</f>
        <v/>
      </c>
      <c r="M13" s="12" t="n">
        <v>11</v>
      </c>
      <c r="N13" s="13">
        <f>IF(M13&lt;15,"Suitable","Caution - High Wind")</f>
        <v/>
      </c>
      <c r="O13" s="5" t="inlineStr">
        <is>
          <t>Charlotte Reid</t>
        </is>
      </c>
      <c r="P13" s="5" t="inlineStr">
        <is>
          <t>Overcast, light wind</t>
        </is>
      </c>
    </row>
    <row r="14">
      <c r="A14" s="36" t="n">
        <v>46339</v>
      </c>
      <c r="B14" s="5" t="inlineStr">
        <is>
          <t>Block E - Pacific Rose</t>
        </is>
      </c>
      <c r="C14" s="5" t="inlineStr">
        <is>
          <t>Apples</t>
        </is>
      </c>
      <c r="D14" s="5" t="inlineStr">
        <is>
          <t>Switch 62.5WG</t>
        </is>
      </c>
      <c r="E14" s="14">
        <f>IFERROR(VLOOKUP(D14,'Chemical Register'!$A$2:$G$11,2,FALSE),"")</f>
        <v/>
      </c>
      <c r="F14" s="15">
        <f>IFERROR(VLOOKUP(D14,'Chemical Register'!$A$2:$G$11,5,FALSE),0)</f>
        <v/>
      </c>
      <c r="G14" s="16">
        <f>IFERROR(VLOOKUP(D14,'Chemical Register'!$A$2:$G$11,4,FALSE),0)</f>
        <v/>
      </c>
      <c r="H14" s="9" t="n">
        <v>6.1</v>
      </c>
      <c r="I14" s="16">
        <f>ROUND(G14*H14,2)</f>
        <v/>
      </c>
      <c r="J14" s="39">
        <f>IFERROR(VLOOKUP(D14,'Chemical Register'!$A$2:$G$11,6,FALSE),0)</f>
        <v/>
      </c>
      <c r="K14" s="39">
        <f>ROUND(I14*J14,2)</f>
        <v/>
      </c>
      <c r="L14" s="40">
        <f>IF(A14="","",A14+F14)</f>
        <v/>
      </c>
      <c r="M14" s="12" t="n">
        <v>7</v>
      </c>
      <c r="N14" s="19">
        <f>IF(M14&lt;15,"Suitable","Caution - High Wind")</f>
        <v/>
      </c>
      <c r="O14" s="5" t="inlineStr">
        <is>
          <t>Manaia Walker</t>
        </is>
      </c>
      <c r="P14" s="5" t="inlineStr">
        <is>
          <t>Fine, calm</t>
        </is>
      </c>
    </row>
    <row r="15">
      <c r="A15" s="20" t="inlineStr">
        <is>
          <t>TOTALS / AVERAGES</t>
        </is>
      </c>
      <c r="B15" s="41" t="n"/>
      <c r="C15" s="41" t="n"/>
      <c r="D15" s="41" t="n"/>
      <c r="E15" s="41" t="n"/>
      <c r="F15" s="42" t="n"/>
      <c r="G15" s="21" t="n"/>
      <c r="H15" s="22">
        <f>SUM(H5:H14)</f>
        <v/>
      </c>
      <c r="I15" s="22">
        <f>SUM(I5:I14)</f>
        <v/>
      </c>
      <c r="J15" s="21" t="n"/>
      <c r="K15" s="43">
        <f>SUM(K5:K14)</f>
        <v/>
      </c>
      <c r="L15" s="21" t="n"/>
      <c r="M15" s="44">
        <f>ROUND(AVERAGE(M5:M14),1)</f>
        <v/>
      </c>
      <c r="N15" s="21">
        <f>COUNTIF(N5:N14,"Suitable")&amp;" of "&amp;COUNTA(N5:N14)&amp;" suitable"</f>
        <v/>
      </c>
      <c r="O15" s="21" t="n"/>
      <c r="P15" s="21" t="n"/>
    </row>
  </sheetData>
  <mergeCells count="3">
    <mergeCell ref="A1:P1"/>
    <mergeCell ref="A2:P2"/>
    <mergeCell ref="A15:F15"/>
  </mergeCells>
  <conditionalFormatting sqref="M5:M14">
    <cfRule type="cellIs" priority="1" operator="greaterThanOrEqual" dxfId="0">
      <formula>15</formula>
    </cfRule>
  </conditionalFormatting>
  <conditionalFormatting sqref="N5:N14">
    <cfRule type="expression" priority="2" dxfId="0">
      <formula>N5="Caution - High Wind"</formula>
    </cfRule>
  </conditionalFormatting>
  <dataValidations count="3">
    <dataValidation sqref="D5:D14" showErrorMessage="1" showInputMessage="1" allowBlank="1" type="list">
      <formula1>"Copper Oxychloride,Mancozeb 750WP,Captan 800WG,Movento 100SC,Success Neo,Delegate WG,Regent 200SC,Prophyl Fungicide,Bravo Weatherstik,Switch 62.5WG"</formula1>
    </dataValidation>
    <dataValidation sqref="B5:B14" showErrorMessage="1" showInputMessage="1" allowBlank="1" type="list">
      <formula1>"Block A - Royal Gala,Block B - Braeburn,Block C - Envy,Block D - Jazz,Block E - Pacific Rose"</formula1>
    </dataValidation>
    <dataValidation sqref="C5:C14" showErrorMessage="1" showInputMessage="1" allowBlank="1" type="list">
      <formula1>"Apples,Pears,Kiwifruit"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3"/>
  <sheetViews>
    <sheetView workbookViewId="0">
      <pane ySplit="3" topLeftCell="A4" activePane="bottomLeft" state="frozen"/>
      <selection pane="bottomLeft" activeCell="A1" sqref="A1"/>
    </sheetView>
  </sheetViews>
  <sheetFormatPr baseColWidth="8" defaultRowHeight="15"/>
  <cols>
    <col width="20" customWidth="1" min="1" max="1"/>
    <col width="24" customWidth="1" min="2" max="2"/>
    <col width="26" customWidth="1" min="3" max="3"/>
    <col width="18" customWidth="1" min="4" max="4"/>
    <col width="20" customWidth="1" min="5" max="5"/>
    <col width="16" customWidth="1" min="6" max="6"/>
    <col width="20" customWidth="1" min="7" max="7"/>
  </cols>
  <sheetData>
    <row r="1" ht="22" customHeight="1">
      <c r="A1" s="25" t="inlineStr">
        <is>
          <t>Approved Chemical Register - ACVM Registered Products</t>
        </is>
      </c>
    </row>
    <row r="2"/>
    <row r="3" ht="30" customHeight="1">
      <c r="A3" s="3" t="inlineStr">
        <is>
          <t>Product Name</t>
        </is>
      </c>
      <c r="B3" s="3" t="inlineStr">
        <is>
          <t>Active Ingredient</t>
        </is>
      </c>
      <c r="C3" s="3" t="inlineStr">
        <is>
          <t>Chemical Group</t>
        </is>
      </c>
      <c r="D3" s="3" t="inlineStr">
        <is>
          <t>Standard Rate per Ha</t>
        </is>
      </c>
      <c r="E3" s="3" t="inlineStr">
        <is>
          <t>Withholding Period (days)</t>
        </is>
      </c>
      <c r="F3" s="3" t="inlineStr">
        <is>
          <t>Cost per Litre ($)</t>
        </is>
      </c>
      <c r="G3" s="3" t="inlineStr">
        <is>
          <t>ACVM Registration No.</t>
        </is>
      </c>
    </row>
    <row r="4">
      <c r="A4" s="6" t="inlineStr">
        <is>
          <t>Copper Oxychloride</t>
        </is>
      </c>
      <c r="B4" s="6" t="inlineStr">
        <is>
          <t>Copper</t>
        </is>
      </c>
      <c r="C4" s="6" t="inlineStr">
        <is>
          <t>M1 - Multi-site</t>
        </is>
      </c>
      <c r="D4" s="8" t="n">
        <v>3</v>
      </c>
      <c r="E4" s="13" t="n">
        <v>1</v>
      </c>
      <c r="F4" s="37" t="n">
        <v>18.5</v>
      </c>
      <c r="G4" s="6" t="inlineStr">
        <is>
          <t>P006812</t>
        </is>
      </c>
    </row>
    <row r="5">
      <c r="A5" s="14" t="inlineStr">
        <is>
          <t>Mancozeb 750WP</t>
        </is>
      </c>
      <c r="B5" s="14" t="inlineStr">
        <is>
          <t>Mancozeb</t>
        </is>
      </c>
      <c r="C5" s="14" t="inlineStr">
        <is>
          <t>M3 - Multi-site</t>
        </is>
      </c>
      <c r="D5" s="16" t="n">
        <v>2.5</v>
      </c>
      <c r="E5" s="19" t="n">
        <v>7</v>
      </c>
      <c r="F5" s="39" t="n">
        <v>22.3</v>
      </c>
      <c r="G5" s="14" t="inlineStr">
        <is>
          <t>P004521</t>
        </is>
      </c>
    </row>
    <row r="6">
      <c r="A6" s="6" t="inlineStr">
        <is>
          <t>Captan 800WG</t>
        </is>
      </c>
      <c r="B6" s="6" t="inlineStr">
        <is>
          <t>Captan</t>
        </is>
      </c>
      <c r="C6" s="6" t="inlineStr">
        <is>
          <t>M4 - Multi-site</t>
        </is>
      </c>
      <c r="D6" s="8" t="n">
        <v>1.8</v>
      </c>
      <c r="E6" s="13" t="n">
        <v>7</v>
      </c>
      <c r="F6" s="37" t="n">
        <v>26.75</v>
      </c>
      <c r="G6" s="6" t="inlineStr">
        <is>
          <t>P003987</t>
        </is>
      </c>
    </row>
    <row r="7">
      <c r="A7" s="14" t="inlineStr">
        <is>
          <t>Movento 100SC</t>
        </is>
      </c>
      <c r="B7" s="14" t="inlineStr">
        <is>
          <t>Spirotetramat</t>
        </is>
      </c>
      <c r="C7" s="14" t="inlineStr">
        <is>
          <t>23 - Lipid synthesis inhibitor</t>
        </is>
      </c>
      <c r="D7" s="16" t="n">
        <v>0.75</v>
      </c>
      <c r="E7" s="19" t="n">
        <v>14</v>
      </c>
      <c r="F7" s="39" t="n">
        <v>145</v>
      </c>
      <c r="G7" s="14" t="inlineStr">
        <is>
          <t>P009112</t>
        </is>
      </c>
    </row>
    <row r="8">
      <c r="A8" s="6" t="inlineStr">
        <is>
          <t>Success Neo</t>
        </is>
      </c>
      <c r="B8" s="6" t="inlineStr">
        <is>
          <t>Spinetoram</t>
        </is>
      </c>
      <c r="C8" s="6" t="inlineStr">
        <is>
          <t>5 - Spinosyns</t>
        </is>
      </c>
      <c r="D8" s="8" t="n">
        <v>0.6</v>
      </c>
      <c r="E8" s="13" t="n">
        <v>7</v>
      </c>
      <c r="F8" s="37" t="n">
        <v>189.4</v>
      </c>
      <c r="G8" s="6" t="inlineStr">
        <is>
          <t>P008765</t>
        </is>
      </c>
    </row>
    <row r="9">
      <c r="A9" s="14" t="inlineStr">
        <is>
          <t>Delegate WG</t>
        </is>
      </c>
      <c r="B9" s="14" t="inlineStr">
        <is>
          <t>Spinetoram</t>
        </is>
      </c>
      <c r="C9" s="14" t="inlineStr">
        <is>
          <t>5 - Spinosyns</t>
        </is>
      </c>
      <c r="D9" s="16" t="n">
        <v>0.35</v>
      </c>
      <c r="E9" s="19" t="n">
        <v>7</v>
      </c>
      <c r="F9" s="39" t="n">
        <v>210.6</v>
      </c>
      <c r="G9" s="14" t="inlineStr">
        <is>
          <t>P008766</t>
        </is>
      </c>
    </row>
    <row r="10">
      <c r="A10" s="6" t="inlineStr">
        <is>
          <t>Regent 200SC</t>
        </is>
      </c>
      <c r="B10" s="6" t="inlineStr">
        <is>
          <t>Fipronil</t>
        </is>
      </c>
      <c r="C10" s="6" t="inlineStr">
        <is>
          <t>2B - GABA inhibitor</t>
        </is>
      </c>
      <c r="D10" s="8" t="n">
        <v>0.15</v>
      </c>
      <c r="E10" s="13" t="n">
        <v>21</v>
      </c>
      <c r="F10" s="37" t="n">
        <v>320</v>
      </c>
      <c r="G10" s="6" t="inlineStr">
        <is>
          <t>P007654</t>
        </is>
      </c>
    </row>
    <row r="11">
      <c r="A11" s="14" t="inlineStr">
        <is>
          <t>Prophyl Fungicide</t>
        </is>
      </c>
      <c r="B11" s="14" t="inlineStr">
        <is>
          <t>Propiconazole</t>
        </is>
      </c>
      <c r="C11" s="14" t="inlineStr">
        <is>
          <t>3 - DMI fungicide</t>
        </is>
      </c>
      <c r="D11" s="16" t="n">
        <v>0.5</v>
      </c>
      <c r="E11" s="19" t="n">
        <v>14</v>
      </c>
      <c r="F11" s="39" t="n">
        <v>95.2</v>
      </c>
      <c r="G11" s="14" t="inlineStr">
        <is>
          <t>P005433</t>
        </is>
      </c>
    </row>
    <row r="12">
      <c r="A12" s="6" t="inlineStr">
        <is>
          <t>Bravo Weatherstik</t>
        </is>
      </c>
      <c r="B12" s="6" t="inlineStr">
        <is>
          <t>Chlorothalonil</t>
        </is>
      </c>
      <c r="C12" s="6" t="inlineStr">
        <is>
          <t>M5 - Multi-site</t>
        </is>
      </c>
      <c r="D12" s="8" t="n">
        <v>2.2</v>
      </c>
      <c r="E12" s="13" t="n">
        <v>7</v>
      </c>
      <c r="F12" s="37" t="n">
        <v>34.8</v>
      </c>
      <c r="G12" s="6" t="inlineStr">
        <is>
          <t>P002198</t>
        </is>
      </c>
    </row>
    <row r="13">
      <c r="A13" s="14" t="inlineStr">
        <is>
          <t>Switch 62.5WG</t>
        </is>
      </c>
      <c r="B13" s="14" t="inlineStr">
        <is>
          <t>Cyprodinil + Fludioxonil</t>
        </is>
      </c>
      <c r="C13" s="14" t="inlineStr">
        <is>
          <t>9 + 12</t>
        </is>
      </c>
      <c r="D13" s="16" t="n">
        <v>0.8</v>
      </c>
      <c r="E13" s="19" t="n">
        <v>3</v>
      </c>
      <c r="F13" s="39" t="n">
        <v>118.9</v>
      </c>
      <c r="G13" s="14" t="inlineStr">
        <is>
          <t>P006320</t>
        </is>
      </c>
    </row>
  </sheetData>
  <mergeCells count="1">
    <mergeCell ref="A1:G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24" customWidth="1" min="1" max="1"/>
    <col width="22" customWidth="1" min="2" max="2"/>
    <col width="16" customWidth="1" min="3" max="3"/>
    <col width="3" customWidth="1" min="4" max="4"/>
    <col width="24" customWidth="1" min="5" max="5"/>
    <col width="16" customWidth="1" min="6" max="6"/>
  </cols>
  <sheetData>
    <row r="1" ht="24" customHeight="1">
      <c r="A1" s="25" t="inlineStr">
        <is>
          <t>Spray Programme Dashboard - Season Overview</t>
        </is>
      </c>
    </row>
    <row r="2"/>
    <row r="3">
      <c r="A3" s="26" t="inlineStr">
        <is>
          <t>Key Metric</t>
        </is>
      </c>
      <c r="B3" s="26" t="inlineStr">
        <is>
          <t>Value</t>
        </is>
      </c>
    </row>
    <row r="4">
      <c r="A4" s="6" t="inlineStr">
        <is>
          <t>Total Applications</t>
        </is>
      </c>
      <c r="B4" s="45">
        <f>COUNTA('Spray Diary'!D5:D14)</f>
        <v/>
      </c>
    </row>
    <row r="5">
      <c r="A5" s="14" t="inlineStr">
        <is>
          <t>Total Area Sprayed (Ha)</t>
        </is>
      </c>
      <c r="B5" s="16">
        <f>'Spray Diary'!H15</f>
        <v/>
      </c>
    </row>
    <row r="6">
      <c r="A6" s="6" t="inlineStr">
        <is>
          <t>Total Product Used (L)</t>
        </is>
      </c>
      <c r="B6" s="8">
        <f>'Spray Diary'!I15</f>
        <v/>
      </c>
    </row>
    <row r="7">
      <c r="A7" s="14" t="inlineStr">
        <is>
          <t>Total Spray Cost ($)</t>
        </is>
      </c>
      <c r="B7" s="39">
        <f>'Spray Diary'!K15</f>
        <v/>
      </c>
    </row>
    <row r="8">
      <c r="A8" s="6" t="inlineStr">
        <is>
          <t>Average Wind Speed (km/h)</t>
        </is>
      </c>
      <c r="B8" s="45">
        <f>'Spray Diary'!M15</f>
        <v/>
      </c>
    </row>
    <row r="9">
      <c r="A9" s="14" t="inlineStr">
        <is>
          <t>Average Cost per Ha ($)</t>
        </is>
      </c>
      <c r="B9" s="39">
        <f>IFERROR('Spray Diary'!K15/'Spray Diary'!H15,0)</f>
        <v/>
      </c>
    </row>
    <row r="10"/>
    <row r="11"/>
    <row r="12">
      <c r="A12" s="26" t="inlineStr">
        <is>
          <t>Product</t>
        </is>
      </c>
      <c r="B12" s="26" t="inlineStr">
        <is>
          <t>Total Area Sprayed (Ha)</t>
        </is>
      </c>
      <c r="C12" s="26" t="inlineStr">
        <is>
          <t>Total Cost ($)</t>
        </is>
      </c>
      <c r="E12" s="26" t="inlineStr">
        <is>
          <t>Block</t>
        </is>
      </c>
      <c r="F12" s="26" t="inlineStr">
        <is>
          <t>Total Cost ($)</t>
        </is>
      </c>
    </row>
    <row r="13">
      <c r="A13" s="6" t="inlineStr">
        <is>
          <t>Copper Oxychloride</t>
        </is>
      </c>
      <c r="B13" s="28">
        <f>SUMIF('Spray Diary'!$D$5:$D$14,A13,'Spray Diary'!$H$5:$H$14)</f>
        <v/>
      </c>
      <c r="C13" s="46">
        <f>SUMIF('Spray Diary'!$D$5:$D$14,A13,'Spray Diary'!$K$5:$K$14)</f>
        <v/>
      </c>
      <c r="E13" s="6" t="inlineStr">
        <is>
          <t>Block A - Royal Gala</t>
        </is>
      </c>
      <c r="F13" s="46">
        <f>SUMIF('Spray Diary'!$B$5:$B$14,E13,'Spray Diary'!$K$5:$K$14)</f>
        <v/>
      </c>
    </row>
    <row r="14">
      <c r="A14" s="14" t="inlineStr">
        <is>
          <t>Mancozeb 750WP</t>
        </is>
      </c>
      <c r="B14" s="30">
        <f>SUMIF('Spray Diary'!$D$5:$D$14,A14,'Spray Diary'!$H$5:$H$14)</f>
        <v/>
      </c>
      <c r="C14" s="47">
        <f>SUMIF('Spray Diary'!$D$5:$D$14,A14,'Spray Diary'!$K$5:$K$14)</f>
        <v/>
      </c>
      <c r="E14" s="14" t="inlineStr">
        <is>
          <t>Block B - Braeburn</t>
        </is>
      </c>
      <c r="F14" s="47">
        <f>SUMIF('Spray Diary'!$B$5:$B$14,E14,'Spray Diary'!$K$5:$K$14)</f>
        <v/>
      </c>
    </row>
    <row r="15">
      <c r="A15" s="6" t="inlineStr">
        <is>
          <t>Captan 800WG</t>
        </is>
      </c>
      <c r="B15" s="28">
        <f>SUMIF('Spray Diary'!$D$5:$D$14,A15,'Spray Diary'!$H$5:$H$14)</f>
        <v/>
      </c>
      <c r="C15" s="46">
        <f>SUMIF('Spray Diary'!$D$5:$D$14,A15,'Spray Diary'!$K$5:$K$14)</f>
        <v/>
      </c>
      <c r="E15" s="6" t="inlineStr">
        <is>
          <t>Block C - Envy</t>
        </is>
      </c>
      <c r="F15" s="46">
        <f>SUMIF('Spray Diary'!$B$5:$B$14,E15,'Spray Diary'!$K$5:$K$14)</f>
        <v/>
      </c>
    </row>
    <row r="16">
      <c r="A16" s="14" t="inlineStr">
        <is>
          <t>Movento 100SC</t>
        </is>
      </c>
      <c r="B16" s="30">
        <f>SUMIF('Spray Diary'!$D$5:$D$14,A16,'Spray Diary'!$H$5:$H$14)</f>
        <v/>
      </c>
      <c r="C16" s="47">
        <f>SUMIF('Spray Diary'!$D$5:$D$14,A16,'Spray Diary'!$K$5:$K$14)</f>
        <v/>
      </c>
      <c r="E16" s="14" t="inlineStr">
        <is>
          <t>Block D - Jazz</t>
        </is>
      </c>
      <c r="F16" s="47">
        <f>SUMIF('Spray Diary'!$B$5:$B$14,E16,'Spray Diary'!$K$5:$K$14)</f>
        <v/>
      </c>
    </row>
    <row r="17">
      <c r="A17" s="6" t="inlineStr">
        <is>
          <t>Success Neo</t>
        </is>
      </c>
      <c r="B17" s="28">
        <f>SUMIF('Spray Diary'!$D$5:$D$14,A17,'Spray Diary'!$H$5:$H$14)</f>
        <v/>
      </c>
      <c r="C17" s="46">
        <f>SUMIF('Spray Diary'!$D$5:$D$14,A17,'Spray Diary'!$K$5:$K$14)</f>
        <v/>
      </c>
      <c r="E17" s="6" t="inlineStr">
        <is>
          <t>Block E - Pacific Rose</t>
        </is>
      </c>
      <c r="F17" s="46">
        <f>SUMIF('Spray Diary'!$B$5:$B$14,E17,'Spray Diary'!$K$5:$K$14)</f>
        <v/>
      </c>
    </row>
    <row r="18">
      <c r="A18" s="14" t="inlineStr">
        <is>
          <t>Delegate WG</t>
        </is>
      </c>
      <c r="B18" s="30">
        <f>SUMIF('Spray Diary'!$D$5:$D$14,A18,'Spray Diary'!$H$5:$H$14)</f>
        <v/>
      </c>
      <c r="C18" s="47">
        <f>SUMIF('Spray Diary'!$D$5:$D$14,A18,'Spray Diary'!$K$5:$K$14)</f>
        <v/>
      </c>
    </row>
    <row r="19">
      <c r="A19" s="6" t="inlineStr">
        <is>
          <t>Regent 200SC</t>
        </is>
      </c>
      <c r="B19" s="28">
        <f>SUMIF('Spray Diary'!$D$5:$D$14,A19,'Spray Diary'!$H$5:$H$14)</f>
        <v/>
      </c>
      <c r="C19" s="46">
        <f>SUMIF('Spray Diary'!$D$5:$D$14,A19,'Spray Diary'!$K$5:$K$14)</f>
        <v/>
      </c>
    </row>
    <row r="20">
      <c r="A20" s="14" t="inlineStr">
        <is>
          <t>Prophyl Fungicide</t>
        </is>
      </c>
      <c r="B20" s="30">
        <f>SUMIF('Spray Diary'!$D$5:$D$14,A20,'Spray Diary'!$H$5:$H$14)</f>
        <v/>
      </c>
      <c r="C20" s="47">
        <f>SUMIF('Spray Diary'!$D$5:$D$14,A20,'Spray Diary'!$K$5:$K$14)</f>
        <v/>
      </c>
    </row>
    <row r="21">
      <c r="A21" s="6" t="inlineStr">
        <is>
          <t>Bravo Weatherstik</t>
        </is>
      </c>
      <c r="B21" s="28">
        <f>SUMIF('Spray Diary'!$D$5:$D$14,A21,'Spray Diary'!$H$5:$H$14)</f>
        <v/>
      </c>
      <c r="C21" s="46">
        <f>SUMIF('Spray Diary'!$D$5:$D$14,A21,'Spray Diary'!$K$5:$K$14)</f>
        <v/>
      </c>
    </row>
    <row r="22">
      <c r="A22" s="14" t="inlineStr">
        <is>
          <t>Switch 62.5WG</t>
        </is>
      </c>
      <c r="B22" s="30">
        <f>SUMIF('Spray Diary'!$D$5:$D$14,A22,'Spray Diary'!$H$5:$H$14)</f>
        <v/>
      </c>
      <c r="C22" s="47">
        <f>SUMIF('Spray Diary'!$D$5:$D$14,A22,'Spray Diary'!$K$5:$K$14)</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0" customWidth="1" min="1" max="1"/>
    <col width="95" customWidth="1" min="2" max="2"/>
  </cols>
  <sheetData>
    <row r="1" ht="24" customHeight="1">
      <c r="A1" s="25" t="inlineStr">
        <is>
          <t>Instructions - Orchard Spray Diary</t>
        </is>
      </c>
    </row>
    <row r="2"/>
    <row r="3">
      <c r="A3" s="26" t="inlineStr">
        <is>
          <t>Sheet</t>
        </is>
      </c>
      <c r="B3" s="26" t="inlineStr">
        <is>
          <t>Purpose and Guidance</t>
        </is>
      </c>
    </row>
    <row r="4" ht="60" customHeight="1">
      <c r="A4" s="32" t="inlineStr">
        <is>
          <t>Spray Diary</t>
        </is>
      </c>
      <c r="B4" s="33" t="inlineStr">
        <is>
          <t>Record every spray application here. Enter Date, Block, Crop, select Product Name from the dropdown list, enter Area Sprayed (Ha), Wind Speed and Applicator. Active Ingredient, Withholding Period, Rate, Total Product Used, Cost and Next Safe Harvest Date are calculated automatically via VLOOKUP from the Chemical Register. This diary supports GAP/NZGAP and MPI spray record compliance requirements.</t>
        </is>
      </c>
    </row>
    <row r="5" ht="60" customHeight="1">
      <c r="A5" s="34" t="inlineStr">
        <is>
          <t>Chemical Register</t>
        </is>
      </c>
      <c r="B5" s="35" t="inlineStr">
        <is>
          <t>Master list of approved, ACVM-registered agrichemicals used on the orchard. Update rates, withholding periods and costs here - changes automatically flow through to the Spray Diary via lookup formulas. Always confirm current label rates and withholding periods with your agrichemical supplier before use.</t>
        </is>
      </c>
    </row>
    <row r="6" ht="60" customHeight="1">
      <c r="A6" s="32" t="inlineStr">
        <is>
          <t>Dashboard</t>
        </is>
      </c>
      <c r="B6" s="33" t="inlineStr">
        <is>
          <t>Season overview showing total applications, area sprayed, product used, total cost and average wind speed. Charts summarise area and cost by product and cost by block for quick review at grower group or NZGAP audit meetings.</t>
        </is>
      </c>
    </row>
    <row r="7" ht="60" customHeight="1">
      <c r="A7" s="34" t="inlineStr">
        <is>
          <t>Weather Assessment</t>
        </is>
      </c>
      <c r="B7" s="35" t="inlineStr">
        <is>
          <t>The Weather Assessment column flags applications made when wind speed was 15 km/h or higher as 'Caution - High Wind' (highlighted red) to support spray drift risk records.</t>
        </is>
      </c>
    </row>
    <row r="8" ht="60" customHeight="1">
      <c r="A8" s="32" t="inlineStr">
        <is>
          <t>Withholding Periods</t>
        </is>
      </c>
      <c r="B8" s="33" t="inlineStr">
        <is>
          <t>The Next Safe Harvest Date column automatically adds the product's withholding period (days) to the application date. Always double check against current label instructions before harvest.</t>
        </is>
      </c>
    </row>
    <row r="9" ht="60" customHeight="1">
      <c r="A9" s="34" t="inlineStr">
        <is>
          <t>Editable Cells</t>
        </is>
      </c>
      <c r="B9" s="35" t="inlineStr">
        <is>
          <t>Pale yellow cells are designed for data entry. White/green cells contain formulas and should not normally be overwritten.</t>
        </is>
      </c>
    </row>
    <row r="10" ht="60" customHeight="1">
      <c r="A10" s="32" t="inlineStr">
        <is>
          <t>Compliance Note</t>
        </is>
      </c>
      <c r="B10" s="33" t="inlineStr">
        <is>
          <t>This spreadsheet is a template only. Growers remain responsible for complying with all ACVM, MPI and NZGAP agrichemical record-keeping requirements.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2026-07-15T08:36:56Z</dcterms:created>
  <dcterms:modified xmlns:dcterms="http://purl.org/dc/terms/" xmlns:xsi="http://www.w3.org/2001/XMLSchema-instance" xsi:type="dcterms:W3CDTF">2026-07-15T08:36:56Z</dcterms:modified>
</cp:coreProperties>
</file>