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lout Log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374151"/>
      <sz val="9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i val="1"/>
      <sz val="10"/>
    </font>
  </fonts>
  <fills count="8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E5E7EB"/>
        <bgColor rgb="00E5E7EB"/>
      </patternFill>
    </fill>
    <fill>
      <patternFill patternType="solid">
        <fgColor rgb="0014B8A6"/>
        <bgColor rgb="0014B8A6"/>
      </patternFill>
    </fill>
    <fill>
      <patternFill patternType="solid">
        <fgColor rgb="00FFFBEB"/>
        <bgColor rgb="00FFFBE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6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164" fontId="4" fillId="0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0" applyAlignment="1" pivotButton="0" quotePrefix="0" xfId="0">
      <alignment horizontal="right" vertical="center"/>
    </xf>
    <xf numFmtId="0" fontId="0" fillId="5" borderId="0" pivotButton="0" quotePrefix="0" xfId="0"/>
    <xf numFmtId="165" fontId="5" fillId="5" borderId="1" pivotButton="0" quotePrefix="0" xfId="0"/>
    <xf numFmtId="164" fontId="5" fillId="5" borderId="1" pivotButton="0" quotePrefix="0" xfId="0"/>
    <xf numFmtId="0" fontId="4" fillId="0" borderId="1" pivotButton="0" quotePrefix="0" xfId="0"/>
    <xf numFmtId="0" fontId="1" fillId="0" borderId="0" pivotButton="0" quotePrefix="0" xfId="0"/>
    <xf numFmtId="0" fontId="5" fillId="3" borderId="1" pivotButton="0" quotePrefix="0" xfId="0"/>
    <xf numFmtId="1" fontId="4" fillId="7" borderId="1" applyAlignment="1" pivotButton="0" quotePrefix="0" xfId="0">
      <alignment horizontal="center" vertical="center" wrapText="1"/>
    </xf>
    <xf numFmtId="0" fontId="5" fillId="4" borderId="1" pivotButton="0" quotePrefix="0" xfId="0"/>
    <xf numFmtId="164" fontId="4" fillId="7" borderId="1" applyAlignment="1" pivotButton="0" quotePrefix="0" xfId="0">
      <alignment horizontal="center" vertical="center" wrapText="1"/>
    </xf>
    <xf numFmtId="165" fontId="4" fillId="7" borderId="1" applyAlignment="1" pivotButton="0" quotePrefix="0" xfId="0">
      <alignment horizontal="center" vertical="center" wrapText="1"/>
    </xf>
    <xf numFmtId="0" fontId="4" fillId="3" borderId="1" pivotButton="0" quotePrefix="0" xfId="0"/>
    <xf numFmtId="164" fontId="4" fillId="0" borderId="1" pivotButton="0" quotePrefix="0" xfId="0"/>
    <xf numFmtId="0" fontId="4" fillId="4" borderId="1" pivotButton="0" quotePrefix="0" xfId="0"/>
    <xf numFmtId="0" fontId="6" fillId="0" borderId="0" applyAlignment="1" pivotButton="0" quotePrefix="0" xfId="0">
      <alignment vertical="center" wrapText="1"/>
    </xf>
    <xf numFmtId="0" fontId="3" fillId="6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top" wrapText="1"/>
    </xf>
    <xf numFmtId="0" fontId="5" fillId="0" borderId="1" pivotButton="0" quotePrefix="0" xfId="0"/>
    <xf numFmtId="0" fontId="4" fillId="0" borderId="1" applyAlignment="1" pivotButton="0" quotePrefix="0" xfId="0">
      <alignment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Technician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'Dashboard'!C14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'Dashboard'!$A$15:$A$18</f>
            </numRef>
          </cat>
          <val>
            <numRef>
              <f>'Dashboard'!$C$15:$C$18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Technician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Revenue (NZD)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Job Status Breakdown</a:t>
            </a:r>
          </a:p>
        </rich>
      </tx>
    </title>
    <plotArea>
      <pieChart>
        <varyColors val="1"/>
        <ser>
          <idx val="0"/>
          <order val="0"/>
          <tx>
            <strRef>
              <f>'Dashboard'!B21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'Dashboard'!$A$22:$A$25</f>
            </numRef>
          </cat>
          <val>
            <numRef>
              <f>'Dashboard'!$B$22:$B$25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3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16" customWidth="1" min="3" max="3"/>
    <col width="13" customWidth="1" min="4" max="4"/>
    <col width="16" customWidth="1" min="5" max="5"/>
    <col width="18" customWidth="1" min="6" max="6"/>
    <col width="14" customWidth="1" min="7" max="7"/>
    <col width="12" customWidth="1" min="8" max="8"/>
    <col width="12" customWidth="1" min="9" max="9"/>
    <col width="15" customWidth="1" min="10" max="10"/>
    <col width="12" customWidth="1" min="11" max="11"/>
    <col width="12" customWidth="1" min="12" max="12"/>
    <col width="12" customWidth="1" min="13" max="13"/>
    <col width="11" customWidth="1" min="14" max="14"/>
    <col width="13" customWidth="1" min="15" max="15"/>
    <col width="12" customWidth="1" min="16" max="16"/>
    <col width="15" customWidth="1" min="17" max="17"/>
    <col width="20" customWidth="1" min="19" max="19"/>
    <col width="13" customWidth="1" min="20" max="20"/>
    <col width="17" customWidth="1" min="21" max="21"/>
  </cols>
  <sheetData>
    <row r="1" ht="22" customHeight="1">
      <c r="A1" s="1" t="inlineStr">
        <is>
          <t>SPARKY ELECTRICAL SERVICES LTD - CALLOUT JOB SHEET</t>
        </is>
      </c>
    </row>
    <row r="2">
      <c r="A2" s="2" t="inlineStr">
        <is>
          <t>NZBN: 9429041234567   |   GST No: 123-456-789   |   Ph: 0800 123 456   |   Based in Hamilton, Waikato</t>
        </is>
      </c>
      <c r="S2" s="3" t="inlineStr">
        <is>
          <t>STANDARD RATE CARD (lookup table)</t>
        </is>
      </c>
    </row>
    <row r="3">
      <c r="S3" s="4" t="inlineStr">
        <is>
          <t>Job Type</t>
        </is>
      </c>
      <c r="T3" s="4" t="inlineStr">
        <is>
          <t>Call-out Fee</t>
        </is>
      </c>
      <c r="U3" s="4" t="inlineStr">
        <is>
          <t>Labour Rate ($/hr)</t>
        </is>
      </c>
    </row>
    <row r="4">
      <c r="A4" s="4" t="inlineStr">
        <is>
          <t>Job No</t>
        </is>
      </c>
      <c r="B4" s="4" t="inlineStr">
        <is>
          <t>Date</t>
        </is>
      </c>
      <c r="C4" s="4" t="inlineStr">
        <is>
          <t>Customer Name</t>
        </is>
      </c>
      <c r="D4" s="4" t="inlineStr">
        <is>
          <t>City</t>
        </is>
      </c>
      <c r="E4" s="4" t="inlineStr">
        <is>
          <t>Address</t>
        </is>
      </c>
      <c r="F4" s="4" t="inlineStr">
        <is>
          <t>Job Type</t>
        </is>
      </c>
      <c r="G4" s="4" t="inlineStr">
        <is>
          <t>Technician</t>
        </is>
      </c>
      <c r="H4" s="4" t="inlineStr">
        <is>
          <t>Call-out Fee</t>
        </is>
      </c>
      <c r="I4" s="4" t="inlineStr">
        <is>
          <t>Labour Hours</t>
        </is>
      </c>
      <c r="J4" s="4" t="inlineStr">
        <is>
          <t>Labour Rate ($/hr)</t>
        </is>
      </c>
      <c r="K4" s="4" t="inlineStr">
        <is>
          <t>Labour Cost</t>
        </is>
      </c>
      <c r="L4" s="4" t="inlineStr">
        <is>
          <t>Parts Cost</t>
        </is>
      </c>
      <c r="M4" s="4" t="inlineStr">
        <is>
          <t>Subtotal</t>
        </is>
      </c>
      <c r="N4" s="4" t="inlineStr">
        <is>
          <t>GST (15%)</t>
        </is>
      </c>
      <c r="O4" s="4" t="inlineStr">
        <is>
          <t>Total Inc GST</t>
        </is>
      </c>
      <c r="P4" s="4" t="inlineStr">
        <is>
          <t>Status</t>
        </is>
      </c>
      <c r="Q4" s="4" t="inlineStr">
        <is>
          <t>Payment Method</t>
        </is>
      </c>
      <c r="S4" s="5" t="inlineStr">
        <is>
          <t>Residential</t>
        </is>
      </c>
      <c r="T4" s="6" t="n">
        <v>75</v>
      </c>
      <c r="U4" s="6" t="n">
        <v>95</v>
      </c>
    </row>
    <row r="5">
      <c r="A5" s="7" t="n">
        <v>1001</v>
      </c>
      <c r="B5" s="7" t="inlineStr">
        <is>
          <t>01/07/2026</t>
        </is>
      </c>
      <c r="C5" s="8" t="inlineStr">
        <is>
          <t>Aroha Ngata</t>
        </is>
      </c>
      <c r="D5" s="7" t="inlineStr">
        <is>
          <t>Hamilton</t>
        </is>
      </c>
      <c r="E5" s="8" t="inlineStr">
        <is>
          <t>12 Ward St</t>
        </is>
      </c>
      <c r="F5" s="7" t="inlineStr">
        <is>
          <t>Residential</t>
        </is>
      </c>
      <c r="G5" s="7" t="inlineStr">
        <is>
          <t>Liam Carter</t>
        </is>
      </c>
      <c r="H5" s="9">
        <f>IFERROR(VLOOKUP(F5,$S$4:$U$11,2,FALSE),0)</f>
        <v/>
      </c>
      <c r="I5" s="10" t="n">
        <v>2.5</v>
      </c>
      <c r="J5" s="9">
        <f>IFERROR(VLOOKUP(F5,$S$4:$U$11,3,FALSE),0)</f>
        <v/>
      </c>
      <c r="K5" s="9">
        <f>I5*J5</f>
        <v/>
      </c>
      <c r="L5" s="9" t="n">
        <v>45</v>
      </c>
      <c r="M5" s="9">
        <f>H5+K5+L5</f>
        <v/>
      </c>
      <c r="N5" s="9">
        <f>M5*0.15</f>
        <v/>
      </c>
      <c r="O5" s="9">
        <f>M5+N5</f>
        <v/>
      </c>
      <c r="P5" s="7" t="inlineStr">
        <is>
          <t>Completed</t>
        </is>
      </c>
      <c r="Q5" s="7" t="inlineStr">
        <is>
          <t>Eftpos</t>
        </is>
      </c>
      <c r="S5" s="5" t="inlineStr">
        <is>
          <t>Commercial</t>
        </is>
      </c>
      <c r="T5" s="6" t="n">
        <v>95</v>
      </c>
      <c r="U5" s="6" t="n">
        <v>110</v>
      </c>
    </row>
    <row r="6">
      <c r="A6" s="11" t="n">
        <v>1002</v>
      </c>
      <c r="B6" s="11" t="inlineStr">
        <is>
          <t>02/07/2026</t>
        </is>
      </c>
      <c r="C6" s="12" t="inlineStr">
        <is>
          <t>Hemi Walker</t>
        </is>
      </c>
      <c r="D6" s="11" t="inlineStr">
        <is>
          <t>Auckland</t>
        </is>
      </c>
      <c r="E6" s="12" t="inlineStr">
        <is>
          <t>88 Queen St</t>
        </is>
      </c>
      <c r="F6" s="11" t="inlineStr">
        <is>
          <t>Commercial</t>
        </is>
      </c>
      <c r="G6" s="11" t="inlineStr">
        <is>
          <t>Hemi Walker</t>
        </is>
      </c>
      <c r="H6" s="13">
        <f>IFERROR(VLOOKUP(F6,$S$4:$U$11,2,FALSE),0)</f>
        <v/>
      </c>
      <c r="I6" s="14" t="n">
        <v>4</v>
      </c>
      <c r="J6" s="13">
        <f>IFERROR(VLOOKUP(F6,$S$4:$U$11,3,FALSE),0)</f>
        <v/>
      </c>
      <c r="K6" s="13">
        <f>I6*J6</f>
        <v/>
      </c>
      <c r="L6" s="13" t="n">
        <v>120</v>
      </c>
      <c r="M6" s="13">
        <f>H6+K6+L6</f>
        <v/>
      </c>
      <c r="N6" s="13">
        <f>M6*0.15</f>
        <v/>
      </c>
      <c r="O6" s="13">
        <f>M6+N6</f>
        <v/>
      </c>
      <c r="P6" s="11" t="inlineStr">
        <is>
          <t>Invoiced</t>
        </is>
      </c>
      <c r="Q6" s="11" t="inlineStr">
        <is>
          <t>Bank Transfer</t>
        </is>
      </c>
      <c r="S6" s="5" t="inlineStr">
        <is>
          <t>Emergency</t>
        </is>
      </c>
      <c r="T6" s="6" t="n">
        <v>150</v>
      </c>
      <c r="U6" s="6" t="n">
        <v>130</v>
      </c>
    </row>
    <row r="7">
      <c r="A7" s="7" t="n">
        <v>1003</v>
      </c>
      <c r="B7" s="7" t="inlineStr">
        <is>
          <t>03/07/2026</t>
        </is>
      </c>
      <c r="C7" s="8" t="inlineStr">
        <is>
          <t>Charlotte Reid</t>
        </is>
      </c>
      <c r="D7" s="7" t="inlineStr">
        <is>
          <t>Tauranga</t>
        </is>
      </c>
      <c r="E7" s="8" t="inlineStr">
        <is>
          <t>5 Marine Pde</t>
        </is>
      </c>
      <c r="F7" s="7" t="inlineStr">
        <is>
          <t>Emergency</t>
        </is>
      </c>
      <c r="G7" s="7" t="inlineStr">
        <is>
          <t>Manaia Ropata</t>
        </is>
      </c>
      <c r="H7" s="9">
        <f>IFERROR(VLOOKUP(F7,$S$4:$U$11,2,FALSE),0)</f>
        <v/>
      </c>
      <c r="I7" s="10" t="n">
        <v>1.5</v>
      </c>
      <c r="J7" s="9">
        <f>IFERROR(VLOOKUP(F7,$S$4:$U$11,3,FALSE),0)</f>
        <v/>
      </c>
      <c r="K7" s="9">
        <f>I7*J7</f>
        <v/>
      </c>
      <c r="L7" s="9" t="n">
        <v>60</v>
      </c>
      <c r="M7" s="9">
        <f>H7+K7+L7</f>
        <v/>
      </c>
      <c r="N7" s="9">
        <f>M7*0.15</f>
        <v/>
      </c>
      <c r="O7" s="9">
        <f>M7+N7</f>
        <v/>
      </c>
      <c r="P7" s="7" t="inlineStr">
        <is>
          <t>Paid</t>
        </is>
      </c>
      <c r="Q7" s="7" t="inlineStr">
        <is>
          <t>Credit Card</t>
        </is>
      </c>
      <c r="S7" s="5" t="inlineStr">
        <is>
          <t>Switchboard Upgrade</t>
        </is>
      </c>
      <c r="T7" s="6" t="n">
        <v>95</v>
      </c>
      <c r="U7" s="6" t="n">
        <v>110</v>
      </c>
    </row>
    <row r="8">
      <c r="A8" s="11" t="n">
        <v>1004</v>
      </c>
      <c r="B8" s="11" t="inlineStr">
        <is>
          <t>05/07/2026</t>
        </is>
      </c>
      <c r="C8" s="12" t="inlineStr">
        <is>
          <t>Sophie Grant</t>
        </is>
      </c>
      <c r="D8" s="11" t="inlineStr">
        <is>
          <t>Wellington</t>
        </is>
      </c>
      <c r="E8" s="12" t="inlineStr">
        <is>
          <t>23 Cuba St</t>
        </is>
      </c>
      <c r="F8" s="11" t="inlineStr">
        <is>
          <t>Switchboard Upgrade</t>
        </is>
      </c>
      <c r="G8" s="11" t="inlineStr">
        <is>
          <t>Liam Carter</t>
        </is>
      </c>
      <c r="H8" s="13">
        <f>IFERROR(VLOOKUP(F8,$S$4:$U$11,2,FALSE),0)</f>
        <v/>
      </c>
      <c r="I8" s="14" t="n">
        <v>5</v>
      </c>
      <c r="J8" s="13">
        <f>IFERROR(VLOOKUP(F8,$S$4:$U$11,3,FALSE),0)</f>
        <v/>
      </c>
      <c r="K8" s="13">
        <f>I8*J8</f>
        <v/>
      </c>
      <c r="L8" s="13" t="n">
        <v>380</v>
      </c>
      <c r="M8" s="13">
        <f>H8+K8+L8</f>
        <v/>
      </c>
      <c r="N8" s="13">
        <f>M8*0.15</f>
        <v/>
      </c>
      <c r="O8" s="13">
        <f>M8+N8</f>
        <v/>
      </c>
      <c r="P8" s="11" t="inlineStr">
        <is>
          <t>Completed</t>
        </is>
      </c>
      <c r="Q8" s="11" t="inlineStr">
        <is>
          <t>Bank Transfer</t>
        </is>
      </c>
      <c r="S8" s="5" t="inlineStr">
        <is>
          <t>Inspection</t>
        </is>
      </c>
      <c r="T8" s="6" t="n">
        <v>65</v>
      </c>
      <c r="U8" s="6" t="n">
        <v>85</v>
      </c>
    </row>
    <row r="9">
      <c r="A9" s="7" t="n">
        <v>1005</v>
      </c>
      <c r="B9" s="7" t="inlineStr">
        <is>
          <t>06/07/2026</t>
        </is>
      </c>
      <c r="C9" s="8" t="inlineStr">
        <is>
          <t>Manaia Tane</t>
        </is>
      </c>
      <c r="D9" s="7" t="inlineStr">
        <is>
          <t>Christchurch</t>
        </is>
      </c>
      <c r="E9" s="8" t="inlineStr">
        <is>
          <t>77 Colombo St</t>
        </is>
      </c>
      <c r="F9" s="7" t="inlineStr">
        <is>
          <t>Inspection</t>
        </is>
      </c>
      <c r="G9" s="7" t="inlineStr">
        <is>
          <t>Aroha Kingi</t>
        </is>
      </c>
      <c r="H9" s="9">
        <f>IFERROR(VLOOKUP(F9,$S$4:$U$11,2,FALSE),0)</f>
        <v/>
      </c>
      <c r="I9" s="10" t="n">
        <v>1</v>
      </c>
      <c r="J9" s="9">
        <f>IFERROR(VLOOKUP(F9,$S$4:$U$11,3,FALSE),0)</f>
        <v/>
      </c>
      <c r="K9" s="9">
        <f>I9*J9</f>
        <v/>
      </c>
      <c r="L9" s="9" t="n">
        <v>0</v>
      </c>
      <c r="M9" s="9">
        <f>H9+K9+L9</f>
        <v/>
      </c>
      <c r="N9" s="9">
        <f>M9*0.15</f>
        <v/>
      </c>
      <c r="O9" s="9">
        <f>M9+N9</f>
        <v/>
      </c>
      <c r="P9" s="7" t="inlineStr">
        <is>
          <t>Invoiced</t>
        </is>
      </c>
      <c r="Q9" s="7" t="inlineStr">
        <is>
          <t>Eftpos</t>
        </is>
      </c>
      <c r="S9" s="5" t="inlineStr">
        <is>
          <t>Heat Pump Install</t>
        </is>
      </c>
      <c r="T9" s="6" t="n">
        <v>95</v>
      </c>
      <c r="U9" s="6" t="n">
        <v>105</v>
      </c>
    </row>
    <row r="10">
      <c r="A10" s="11" t="n">
        <v>1006</v>
      </c>
      <c r="B10" s="11" t="inlineStr">
        <is>
          <t>08/07/2026</t>
        </is>
      </c>
      <c r="C10" s="12" t="inlineStr">
        <is>
          <t>Liam Fraser</t>
        </is>
      </c>
      <c r="D10" s="11" t="inlineStr">
        <is>
          <t>Dunedin</t>
        </is>
      </c>
      <c r="E10" s="12" t="inlineStr">
        <is>
          <t>9 George St</t>
        </is>
      </c>
      <c r="F10" s="11" t="inlineStr">
        <is>
          <t>Heat Pump Install</t>
        </is>
      </c>
      <c r="G10" s="11" t="inlineStr">
        <is>
          <t>Hemi Walker</t>
        </is>
      </c>
      <c r="H10" s="13">
        <f>IFERROR(VLOOKUP(F10,$S$4:$U$11,2,FALSE),0)</f>
        <v/>
      </c>
      <c r="I10" s="14" t="n">
        <v>6.5</v>
      </c>
      <c r="J10" s="13">
        <f>IFERROR(VLOOKUP(F10,$S$4:$U$11,3,FALSE),0)</f>
        <v/>
      </c>
      <c r="K10" s="13">
        <f>I10*J10</f>
        <v/>
      </c>
      <c r="L10" s="13" t="n">
        <v>650</v>
      </c>
      <c r="M10" s="13">
        <f>H10+K10+L10</f>
        <v/>
      </c>
      <c r="N10" s="13">
        <f>M10*0.15</f>
        <v/>
      </c>
      <c r="O10" s="13">
        <f>M10+N10</f>
        <v/>
      </c>
      <c r="P10" s="11" t="inlineStr">
        <is>
          <t>Pending</t>
        </is>
      </c>
      <c r="Q10" s="11" t="inlineStr">
        <is>
          <t>-</t>
        </is>
      </c>
      <c r="S10" s="5" t="inlineStr">
        <is>
          <t>Rewire</t>
        </is>
      </c>
      <c r="T10" s="6" t="n">
        <v>95</v>
      </c>
      <c r="U10" s="6" t="n">
        <v>110</v>
      </c>
    </row>
    <row r="11">
      <c r="A11" s="7" t="n">
        <v>1007</v>
      </c>
      <c r="B11" s="7" t="inlineStr">
        <is>
          <t>09/07/2026</t>
        </is>
      </c>
      <c r="C11" s="8" t="inlineStr">
        <is>
          <t>Grace Ihaka</t>
        </is>
      </c>
      <c r="D11" s="7" t="inlineStr">
        <is>
          <t>Rotorua</t>
        </is>
      </c>
      <c r="E11" s="8" t="inlineStr">
        <is>
          <t>14 Fenton St</t>
        </is>
      </c>
      <c r="F11" s="7" t="inlineStr">
        <is>
          <t>Rewire</t>
        </is>
      </c>
      <c r="G11" s="7" t="inlineStr">
        <is>
          <t>Manaia Ropata</t>
        </is>
      </c>
      <c r="H11" s="9">
        <f>IFERROR(VLOOKUP(F11,$S$4:$U$11,2,FALSE),0)</f>
        <v/>
      </c>
      <c r="I11" s="10" t="n">
        <v>8</v>
      </c>
      <c r="J11" s="9">
        <f>IFERROR(VLOOKUP(F11,$S$4:$U$11,3,FALSE),0)</f>
        <v/>
      </c>
      <c r="K11" s="9">
        <f>I11*J11</f>
        <v/>
      </c>
      <c r="L11" s="9" t="n">
        <v>420</v>
      </c>
      <c r="M11" s="9">
        <f>H11+K11+L11</f>
        <v/>
      </c>
      <c r="N11" s="9">
        <f>M11*0.15</f>
        <v/>
      </c>
      <c r="O11" s="9">
        <f>M11+N11</f>
        <v/>
      </c>
      <c r="P11" s="7" t="inlineStr">
        <is>
          <t>Pending</t>
        </is>
      </c>
      <c r="Q11" s="7" t="inlineStr">
        <is>
          <t>-</t>
        </is>
      </c>
      <c r="S11" s="5" t="inlineStr">
        <is>
          <t>Lighting</t>
        </is>
      </c>
      <c r="T11" s="6" t="n">
        <v>75</v>
      </c>
      <c r="U11" s="6" t="n">
        <v>95</v>
      </c>
    </row>
    <row r="12">
      <c r="A12" s="11" t="n">
        <v>1008</v>
      </c>
      <c r="B12" s="11" t="inlineStr">
        <is>
          <t>10/07/2026</t>
        </is>
      </c>
      <c r="C12" s="12" t="inlineStr">
        <is>
          <t>Ethan Puru</t>
        </is>
      </c>
      <c r="D12" s="11" t="inlineStr">
        <is>
          <t>Napier</t>
        </is>
      </c>
      <c r="E12" s="12" t="inlineStr">
        <is>
          <t>3 Marine Pde</t>
        </is>
      </c>
      <c r="F12" s="11" t="inlineStr">
        <is>
          <t>Lighting</t>
        </is>
      </c>
      <c r="G12" s="11" t="inlineStr">
        <is>
          <t>Aroha Kingi</t>
        </is>
      </c>
      <c r="H12" s="13">
        <f>IFERROR(VLOOKUP(F12,$S$4:$U$11,2,FALSE),0)</f>
        <v/>
      </c>
      <c r="I12" s="14" t="n">
        <v>2</v>
      </c>
      <c r="J12" s="13">
        <f>IFERROR(VLOOKUP(F12,$S$4:$U$11,3,FALSE),0)</f>
        <v/>
      </c>
      <c r="K12" s="13">
        <f>I12*J12</f>
        <v/>
      </c>
      <c r="L12" s="13" t="n">
        <v>95</v>
      </c>
      <c r="M12" s="13">
        <f>H12+K12+L12</f>
        <v/>
      </c>
      <c r="N12" s="13">
        <f>M12*0.15</f>
        <v/>
      </c>
      <c r="O12" s="13">
        <f>M12+N12</f>
        <v/>
      </c>
      <c r="P12" s="11" t="inlineStr">
        <is>
          <t>Completed</t>
        </is>
      </c>
      <c r="Q12" s="11" t="inlineStr">
        <is>
          <t>Cash</t>
        </is>
      </c>
    </row>
    <row r="13">
      <c r="A13" s="7" t="n">
        <v>1009</v>
      </c>
      <c r="B13" s="7" t="inlineStr">
        <is>
          <t>11/07/2026</t>
        </is>
      </c>
      <c r="C13" s="8" t="inlineStr">
        <is>
          <t>Isla Watene</t>
        </is>
      </c>
      <c r="D13" s="7" t="inlineStr">
        <is>
          <t>Hamilton</t>
        </is>
      </c>
      <c r="E13" s="8" t="inlineStr">
        <is>
          <t>41 Grey St</t>
        </is>
      </c>
      <c r="F13" s="7" t="inlineStr">
        <is>
          <t>Emergency</t>
        </is>
      </c>
      <c r="G13" s="7" t="inlineStr">
        <is>
          <t>Liam Carter</t>
        </is>
      </c>
      <c r="H13" s="9">
        <f>IFERROR(VLOOKUP(F13,$S$4:$U$11,2,FALSE),0)</f>
        <v/>
      </c>
      <c r="I13" s="10" t="n">
        <v>3</v>
      </c>
      <c r="J13" s="9">
        <f>IFERROR(VLOOKUP(F13,$S$4:$U$11,3,FALSE),0)</f>
        <v/>
      </c>
      <c r="K13" s="9">
        <f>I13*J13</f>
        <v/>
      </c>
      <c r="L13" s="9" t="n">
        <v>150</v>
      </c>
      <c r="M13" s="9">
        <f>H13+K13+L13</f>
        <v/>
      </c>
      <c r="N13" s="9">
        <f>M13*0.15</f>
        <v/>
      </c>
      <c r="O13" s="9">
        <f>M13+N13</f>
        <v/>
      </c>
      <c r="P13" s="7" t="inlineStr">
        <is>
          <t>Paid</t>
        </is>
      </c>
      <c r="Q13" s="7" t="inlineStr">
        <is>
          <t>Credit Card</t>
        </is>
      </c>
    </row>
    <row r="14">
      <c r="A14" s="11" t="n">
        <v>1010</v>
      </c>
      <c r="B14" s="11" t="inlineStr">
        <is>
          <t>12/07/2026</t>
        </is>
      </c>
      <c r="C14" s="12" t="inlineStr">
        <is>
          <t>Noah Symons</t>
        </is>
      </c>
      <c r="D14" s="11" t="inlineStr">
        <is>
          <t>Auckland</t>
        </is>
      </c>
      <c r="E14" s="12" t="inlineStr">
        <is>
          <t>150 Ponsonby Rd</t>
        </is>
      </c>
      <c r="F14" s="11" t="inlineStr">
        <is>
          <t>Residential</t>
        </is>
      </c>
      <c r="G14" s="11" t="inlineStr">
        <is>
          <t>Hemi Walker</t>
        </is>
      </c>
      <c r="H14" s="13">
        <f>IFERROR(VLOOKUP(F14,$S$4:$U$11,2,FALSE),0)</f>
        <v/>
      </c>
      <c r="I14" s="14" t="n">
        <v>3.5</v>
      </c>
      <c r="J14" s="13">
        <f>IFERROR(VLOOKUP(F14,$S$4:$U$11,3,FALSE),0)</f>
        <v/>
      </c>
      <c r="K14" s="13">
        <f>I14*J14</f>
        <v/>
      </c>
      <c r="L14" s="13" t="n">
        <v>70</v>
      </c>
      <c r="M14" s="13">
        <f>H14+K14+L14</f>
        <v/>
      </c>
      <c r="N14" s="13">
        <f>M14*0.15</f>
        <v/>
      </c>
      <c r="O14" s="13">
        <f>M14+N14</f>
        <v/>
      </c>
      <c r="P14" s="11" t="inlineStr">
        <is>
          <t>Invoiced</t>
        </is>
      </c>
      <c r="Q14" s="11" t="inlineStr">
        <is>
          <t>Bank Transfer</t>
        </is>
      </c>
    </row>
    <row r="15">
      <c r="A15" s="15" t="inlineStr">
        <is>
          <t>TOTALS</t>
        </is>
      </c>
      <c r="H15" s="16" t="n"/>
      <c r="I15" s="17">
        <f>AVERAGE(I5:I14)</f>
        <v/>
      </c>
      <c r="J15" s="16" t="n"/>
      <c r="K15" s="18">
        <f>SUM(K5:K14)</f>
        <v/>
      </c>
      <c r="L15" s="18">
        <f>SUM(L5:L14)</f>
        <v/>
      </c>
      <c r="M15" s="18">
        <f>SUM(M5:M14)</f>
        <v/>
      </c>
      <c r="N15" s="18">
        <f>SUM(N5:N14)</f>
        <v/>
      </c>
      <c r="O15" s="18">
        <f>SUM(O5:O14)</f>
        <v/>
      </c>
      <c r="P15" s="16" t="n"/>
      <c r="Q15" s="16" t="n"/>
    </row>
    <row r="16"/>
    <row r="17">
      <c r="A17" s="3" t="inlineStr">
        <is>
          <t>JOB STATUS SUMMARY</t>
        </is>
      </c>
    </row>
    <row r="18">
      <c r="A18" s="19" t="inlineStr">
        <is>
          <t>Completed</t>
        </is>
      </c>
      <c r="B18" s="5">
        <f>COUNTIF(P5:P14,A18)</f>
        <v/>
      </c>
    </row>
    <row r="19">
      <c r="A19" s="19" t="inlineStr">
        <is>
          <t>Invoiced</t>
        </is>
      </c>
      <c r="B19" s="5">
        <f>COUNTIF(P5:P14,A19)</f>
        <v/>
      </c>
    </row>
    <row r="20">
      <c r="A20" s="19" t="inlineStr">
        <is>
          <t>Pending</t>
        </is>
      </c>
      <c r="B20" s="5">
        <f>COUNTIF(P5:P14,A20)</f>
        <v/>
      </c>
    </row>
    <row r="21">
      <c r="A21" s="19" t="inlineStr">
        <is>
          <t>Paid</t>
        </is>
      </c>
      <c r="B21" s="5">
        <f>COUNTIF(P5:P14,A21)</f>
        <v/>
      </c>
    </row>
  </sheetData>
  <mergeCells count="4">
    <mergeCell ref="A1:Q1"/>
    <mergeCell ref="A15:G15"/>
    <mergeCell ref="A17:C17"/>
    <mergeCell ref="S2:U2"/>
  </mergeCells>
  <conditionalFormatting sqref="P5:P14">
    <cfRule type="expression" priority="1" dxfId="0" stopIfTrue="1">
      <formula>P5="Pending"</formula>
    </cfRule>
    <cfRule type="expression" priority="2" dxfId="1" stopIfTrue="1">
      <formula>P5="Paid"</formula>
    </cfRule>
    <cfRule type="expression" priority="3" dxfId="1" stopIfTrue="1">
      <formula>P5="Completed"</formula>
    </cfRule>
  </conditionalFormatting>
  <dataValidations count="3">
    <dataValidation sqref="P5:P14" showErrorMessage="1" showInputMessage="1" allowBlank="1" type="list">
      <formula1>"Completed,Invoiced,Pending,Paid"</formula1>
    </dataValidation>
    <dataValidation sqref="F5:F14" showErrorMessage="1" showInputMessage="1" allowBlank="1" type="list">
      <formula1>"Residential,Commercial,Emergency,Switchboard Upgrade,Inspection,Heat Pump Install,Rewire,Lighting"</formula1>
    </dataValidation>
    <dataValidation sqref="Q5:Q14" showErrorMessage="1" showInputMessage="1" allowBlank="1" type="list">
      <formula1>"Eftpos,Credit Card,Bank Transfer,Cash,-"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</cols>
  <sheetData>
    <row r="1">
      <c r="A1" s="20" t="inlineStr">
        <is>
          <t>SPARKY ELECTRICAL SERVICES - CALLOUT DASHBOARD</t>
        </is>
      </c>
    </row>
    <row r="2"/>
    <row r="3">
      <c r="A3" s="3" t="inlineStr">
        <is>
          <t>KEY METRICS</t>
        </is>
      </c>
    </row>
    <row r="4">
      <c r="A4" s="21" t="inlineStr">
        <is>
          <t>Total Jobs</t>
        </is>
      </c>
      <c r="B4" s="22">
        <f>COUNTA('Callout Log'!A5:A14)</f>
        <v/>
      </c>
    </row>
    <row r="5">
      <c r="A5" s="23" t="inlineStr">
        <is>
          <t>Total Revenue Inc GST</t>
        </is>
      </c>
      <c r="B5" s="24">
        <f>SUM('Callout Log'!O5:O14)</f>
        <v/>
      </c>
    </row>
    <row r="6">
      <c r="A6" s="21" t="inlineStr">
        <is>
          <t>Total GST Collected</t>
        </is>
      </c>
      <c r="B6" s="24">
        <f>SUM('Callout Log'!N5:N14)</f>
        <v/>
      </c>
    </row>
    <row r="7">
      <c r="A7" s="23" t="inlineStr">
        <is>
          <t>Average Job Value</t>
        </is>
      </c>
      <c r="B7" s="24">
        <f>IFERROR(AVERAGE('Callout Log'!O5:O14),0)</f>
        <v/>
      </c>
    </row>
    <row r="8">
      <c r="A8" s="21" t="inlineStr">
        <is>
          <t>Average Labour Hours</t>
        </is>
      </c>
      <c r="B8" s="25">
        <f>IFERROR(AVERAGE('Callout Log'!I5:I14),0)</f>
        <v/>
      </c>
    </row>
    <row r="9">
      <c r="A9" s="23" t="inlineStr">
        <is>
          <t>Jobs Pending</t>
        </is>
      </c>
      <c r="B9" s="22">
        <f>COUNTIF('Callout Log'!P5:P14,"Pending")</f>
        <v/>
      </c>
    </row>
    <row r="10">
      <c r="A10" s="21" t="inlineStr">
        <is>
          <t>Jobs Paid</t>
        </is>
      </c>
      <c r="B10" s="22">
        <f>COUNTIF('Callout Log'!P5:P14,"Paid")</f>
        <v/>
      </c>
    </row>
    <row r="11"/>
    <row r="12"/>
    <row r="13">
      <c r="A13" s="3" t="inlineStr">
        <is>
          <t>REVENUE BY TECHNICIAN</t>
        </is>
      </c>
    </row>
    <row r="14">
      <c r="A14" s="4" t="inlineStr">
        <is>
          <t>Technician</t>
        </is>
      </c>
      <c r="B14" s="4" t="inlineStr">
        <is>
          <t>Jobs Count</t>
        </is>
      </c>
      <c r="C14" s="4" t="inlineStr">
        <is>
          <t>Total Revenue</t>
        </is>
      </c>
    </row>
    <row r="15">
      <c r="A15" s="26" t="inlineStr">
        <is>
          <t>Liam Carter</t>
        </is>
      </c>
      <c r="B15" s="5">
        <f>COUNTIF('Callout Log'!G5:G14,A15)</f>
        <v/>
      </c>
      <c r="C15" s="27">
        <f>SUMIF('Callout Log'!G5:G14,A15,'Callout Log'!O5:O14)</f>
        <v/>
      </c>
    </row>
    <row r="16">
      <c r="A16" s="28" t="inlineStr">
        <is>
          <t>Hemi Walker</t>
        </is>
      </c>
      <c r="B16" s="5">
        <f>COUNTIF('Callout Log'!G5:G14,A16)</f>
        <v/>
      </c>
      <c r="C16" s="27">
        <f>SUMIF('Callout Log'!G5:G14,A16,'Callout Log'!O5:O14)</f>
        <v/>
      </c>
    </row>
    <row r="17">
      <c r="A17" s="26" t="inlineStr">
        <is>
          <t>Manaia Ropata</t>
        </is>
      </c>
      <c r="B17" s="5">
        <f>COUNTIF('Callout Log'!G5:G14,A17)</f>
        <v/>
      </c>
      <c r="C17" s="27">
        <f>SUMIF('Callout Log'!G5:G14,A17,'Callout Log'!O5:O14)</f>
        <v/>
      </c>
    </row>
    <row r="18">
      <c r="A18" s="28" t="inlineStr">
        <is>
          <t>Aroha Kingi</t>
        </is>
      </c>
      <c r="B18" s="5">
        <f>COUNTIF('Callout Log'!G5:G14,A18)</f>
        <v/>
      </c>
      <c r="C18" s="27">
        <f>SUMIF('Callout Log'!G5:G14,A18,'Callout Log'!O5:O14)</f>
        <v/>
      </c>
    </row>
    <row r="19"/>
    <row r="20">
      <c r="A20" s="3" t="inlineStr">
        <is>
          <t>STATUS BREAKDOWN</t>
        </is>
      </c>
    </row>
    <row r="21">
      <c r="A21" s="4" t="inlineStr">
        <is>
          <t>Status</t>
        </is>
      </c>
      <c r="B21" s="4" t="inlineStr">
        <is>
          <t>Count</t>
        </is>
      </c>
    </row>
    <row r="22">
      <c r="A22" s="26" t="inlineStr">
        <is>
          <t>Completed</t>
        </is>
      </c>
      <c r="B22" s="5">
        <f>COUNTIF('Callout Log'!P5:P14,A22)</f>
        <v/>
      </c>
    </row>
    <row r="23">
      <c r="A23" s="28" t="inlineStr">
        <is>
          <t>Invoiced</t>
        </is>
      </c>
      <c r="B23" s="5">
        <f>COUNTIF('Callout Log'!P5:P14,A23)</f>
        <v/>
      </c>
    </row>
    <row r="24">
      <c r="A24" s="26" t="inlineStr">
        <is>
          <t>Pending</t>
        </is>
      </c>
      <c r="B24" s="5">
        <f>COUNTIF('Callout Log'!P5:P14,A24)</f>
        <v/>
      </c>
    </row>
    <row r="25">
      <c r="A25" s="28" t="inlineStr">
        <is>
          <t>Paid</t>
        </is>
      </c>
      <c r="B25" s="5">
        <f>COUNTIF('Callout Log'!P5:P14,A25)</f>
        <v/>
      </c>
    </row>
  </sheetData>
  <mergeCells count="4">
    <mergeCell ref="A1:F1"/>
    <mergeCell ref="A3:B3"/>
    <mergeCell ref="A13:C13"/>
    <mergeCell ref="A20:B20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20" t="inlineStr">
        <is>
          <t>HOW TO USE THIS CALLOUT SHEET</t>
        </is>
      </c>
    </row>
    <row r="2">
      <c r="A2" s="29" t="inlineStr">
        <is>
          <t>This workbook helps a New Zealand electrical contracting business record and manage callout jobs, labour hours, parts costs and GST, and gives a quick dashboard overview of business performance.</t>
        </is>
      </c>
    </row>
    <row r="3"/>
    <row r="4">
      <c r="A4" s="30" t="inlineStr">
        <is>
          <t>Callout Log</t>
        </is>
      </c>
    </row>
    <row r="5" ht="60" customHeight="1">
      <c r="A5" s="31" t="inlineStr">
        <is>
          <t>Main worksheet. Enter each job on its own row: Job No, Date, Customer, City, Address, Job Type and Technician. The Call-out Fee and Labour Rate are pulled automatically from the Standard Rate Card table (columns S to U) using VLOOKUP, based on the Job Type selected. Labour Cost, Subtotal, GST (15%) and Total Inc GST calculate automatically. Use the dropdown lists for Job Type, Status and Payment Method. Update the Rate Card to change pricing business-wide.</t>
        </is>
      </c>
    </row>
    <row r="6"/>
    <row r="7">
      <c r="A7" s="30" t="inlineStr">
        <is>
          <t>Dashboard</t>
        </is>
      </c>
    </row>
    <row r="8" ht="60" customHeight="1">
      <c r="A8" s="31" t="inlineStr">
        <is>
          <t>Automatically summarises Key Metrics (total jobs, revenue, GST collected, average job value and hours), a Revenue by Technician table and a Status Breakdown table, with a bar chart and pie chart for a fast visual overview. All figures update automatically as you edit the Callout Log.</t>
        </is>
      </c>
    </row>
    <row r="9"/>
    <row r="10">
      <c r="A10" s="30" t="inlineStr">
        <is>
          <t>Instructions</t>
        </is>
      </c>
    </row>
    <row r="11" ht="60" customHeight="1">
      <c r="A11" s="31" t="inlineStr">
        <is>
          <t>This sheet. A quick reference guide to each worksheet and column.</t>
        </is>
      </c>
    </row>
    <row r="12"/>
    <row r="13"/>
    <row r="14">
      <c r="A14" s="3" t="inlineStr">
        <is>
          <t>COLUMN NOTES - CALLOUT LOG</t>
        </is>
      </c>
    </row>
    <row r="15">
      <c r="A15" s="32" t="inlineStr">
        <is>
          <t>Call-out Fee</t>
        </is>
      </c>
      <c r="B15" s="33" t="inlineStr">
        <is>
          <t>Auto-filled via VLOOKUP from the Rate Card, based on Job Type.</t>
        </is>
      </c>
      <c r="C15" s="34" t="n"/>
      <c r="D15" s="35" t="n"/>
    </row>
    <row r="16">
      <c r="A16" s="32" t="inlineStr">
        <is>
          <t>Labour Rate</t>
        </is>
      </c>
      <c r="B16" s="33" t="inlineStr">
        <is>
          <t>Auto-filled via VLOOKUP from the Rate Card, based on Job Type.</t>
        </is>
      </c>
      <c r="C16" s="34" t="n"/>
      <c r="D16" s="35" t="n"/>
    </row>
    <row r="17">
      <c r="A17" s="32" t="inlineStr">
        <is>
          <t>Labour Cost</t>
        </is>
      </c>
      <c r="B17" s="33">
        <f> Labour Hours x Labour Rate.</f>
        <v/>
      </c>
      <c r="C17" s="34" t="n"/>
      <c r="D17" s="35" t="n"/>
    </row>
    <row r="18">
      <c r="A18" s="32" t="inlineStr">
        <is>
          <t>Subtotal</t>
        </is>
      </c>
      <c r="B18" s="33">
        <f> Call-out Fee + Labour Cost + Parts Cost.</f>
        <v/>
      </c>
      <c r="C18" s="34" t="n"/>
      <c r="D18" s="35" t="n"/>
    </row>
    <row r="19">
      <c r="A19" s="32" t="inlineStr">
        <is>
          <t>GST (15%)</t>
        </is>
      </c>
      <c r="B19" s="33">
        <f> Subtotal x 0.15, per current NZ GST rate.</f>
        <v/>
      </c>
      <c r="C19" s="34" t="n"/>
      <c r="D19" s="35" t="n"/>
    </row>
    <row r="20">
      <c r="A20" s="32" t="inlineStr">
        <is>
          <t>Total Inc GST</t>
        </is>
      </c>
      <c r="B20" s="33">
        <f> Subtotal + GST. Amount to invoice the customer.</f>
        <v/>
      </c>
      <c r="C20" s="34" t="n"/>
      <c r="D20" s="35" t="n"/>
    </row>
    <row r="21">
      <c r="A21" s="32" t="inlineStr">
        <is>
          <t>Status</t>
        </is>
      </c>
      <c r="B21" s="33" t="inlineStr">
        <is>
          <t>Completed, Invoiced, Pending or Paid - colour-coded automatically.</t>
        </is>
      </c>
      <c r="C21" s="34" t="n"/>
      <c r="D21" s="35" t="n"/>
    </row>
  </sheetData>
  <mergeCells count="16">
    <mergeCell ref="A1:D1"/>
    <mergeCell ref="A2:D2"/>
    <mergeCell ref="A4:D4"/>
    <mergeCell ref="A5:D5"/>
    <mergeCell ref="A7:D7"/>
    <mergeCell ref="A8:D8"/>
    <mergeCell ref="A10:D10"/>
    <mergeCell ref="A11:D11"/>
    <mergeCell ref="A14:D14"/>
    <mergeCell ref="B15:D15"/>
    <mergeCell ref="B16:D16"/>
    <mergeCell ref="B17:D17"/>
    <mergeCell ref="B18:D18"/>
    <mergeCell ref="B19:D19"/>
    <mergeCell ref="B20:D20"/>
    <mergeCell ref="B21:D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2026-07-14T11:53:12Z</dcterms:created>
  <dcterms:modified xmlns:dcterms="http://purl.org/dc/terms/" xmlns:xsi="http://www.w3.org/2001/XMLSchema-instance" xsi:type="dcterms:W3CDTF">2026-07-14T11:53:12Z</dcterms:modified>
</cp:coreProperties>
</file>