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vest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,##0.0"/>
    <numFmt numFmtId="166" formatCode="0.0%"/>
    <numFmt numFmtId="167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1E293B"/>
      <sz val="10"/>
    </font>
    <font>
      <name val="Calibri"/>
      <b val="1"/>
      <color rgb="0016A34A"/>
      <sz val="18"/>
    </font>
    <font>
      <b val="1"/>
      <color rgb="00DC2626"/>
      <sz val="13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0843D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2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2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2" fillId="6" borderId="1" pivotButton="0" quotePrefix="0" xfId="0"/>
    <xf numFmtId="165" fontId="2" fillId="6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6" fillId="3" borderId="1" applyAlignment="1" pivotButton="0" quotePrefix="0" xfId="0">
      <alignment horizontal="center" vertical="center" wrapText="1"/>
    </xf>
    <xf numFmtId="165" fontId="6" fillId="3" borderId="1" applyAlignment="1" pivotButton="0" quotePrefix="0" xfId="0">
      <alignment horizontal="center" vertical="center" wrapText="1"/>
    </xf>
    <xf numFmtId="2" fontId="6" fillId="3" borderId="1" applyAlignment="1" pivotButton="0" quotePrefix="0" xfId="0">
      <alignment horizontal="center" vertical="center" wrapText="1"/>
    </xf>
    <xf numFmtId="166" fontId="6" fillId="3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0" fillId="3" borderId="1" pivotButton="0" quotePrefix="0" xfId="0"/>
    <xf numFmtId="164" fontId="0" fillId="3" borderId="1" pivotButton="0" quotePrefix="0" xfId="0"/>
    <xf numFmtId="0" fontId="0" fillId="5" borderId="1" pivotButton="0" quotePrefix="0" xfId="0"/>
    <xf numFmtId="165" fontId="0" fillId="5" borderId="1" pivotButton="0" quotePrefix="0" xfId="0"/>
    <xf numFmtId="164" fontId="0" fillId="5" borderId="1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167" fontId="0" fillId="3" borderId="1" pivotButton="0" quotePrefix="0" xfId="0"/>
    <xf numFmtId="167" fontId="0" fillId="5" borderId="1" pivotButton="0" quotePrefix="0" xfId="0"/>
    <xf numFmtId="0" fontId="0" fillId="0" borderId="4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Yield (kg) by Vineyard / Block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Dashboard'!B13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'Summary Dashboard'!$A$14:$A$18</f>
            </numRef>
          </cat>
          <val>
            <numRef>
              <f>'Summary Dashboard'!$B$14:$B$18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Block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Yield (kg)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Harvest Quality Split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Dashboard'!E13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 Dashboard'!$D$14:$D$16</f>
            </numRef>
          </cat>
          <val>
            <numRef>
              <f>'Summary Dashboard'!$E$14:$E$16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Yield (kg) Trend Over Harvest Dates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Dashboard'!H13</f>
            </strRef>
          </tx>
          <spPr>
            <a:ln xmlns:a="http://schemas.openxmlformats.org/drawingml/2006/main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Dashboard'!$G$14:$G$23</f>
            </numRef>
          </cat>
          <val>
            <numRef>
              <f>'Summary Dashboard'!$H$14:$H$23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Harvest 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Yield (kg)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35</row>
      <rowOff>0</rowOff>
    </from>
    <ext cx="64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5" customWidth="1" min="3" max="3"/>
    <col width="17" customWidth="1" min="4" max="4"/>
    <col width="14" customWidth="1" min="5" max="5"/>
    <col width="16" customWidth="1" min="6" max="6"/>
    <col width="12" customWidth="1" min="7" max="7"/>
    <col width="16" customWidth="1" min="8" max="8"/>
    <col width="18" customWidth="1" min="9" max="9"/>
    <col width="12" customWidth="1" min="10" max="10"/>
    <col width="20" customWidth="1" min="11" max="11"/>
    <col width="14" customWidth="1" min="12" max="12"/>
    <col width="16" customWidth="1" min="13" max="13"/>
    <col width="14" customWidth="1" min="14" max="14"/>
    <col width="28" customWidth="1" min="15" max="15"/>
  </cols>
  <sheetData>
    <row r="1" ht="26" customHeight="1">
      <c r="A1" s="1" t="inlineStr">
        <is>
          <t>Vineyard Harvest Yield Log — 2026 Season (Aotearoa New Zealand)</t>
        </is>
      </c>
    </row>
    <row r="2" ht="32" customHeight="1">
      <c r="A2" s="2" t="inlineStr">
        <is>
          <t>Harvest Date</t>
        </is>
      </c>
      <c r="B2" s="2" t="inlineStr">
        <is>
          <t>Vineyard / Block</t>
        </is>
      </c>
      <c r="C2" s="2" t="inlineStr">
        <is>
          <t>Region</t>
        </is>
      </c>
      <c r="D2" s="2" t="inlineStr">
        <is>
          <t>Grape Variety</t>
        </is>
      </c>
      <c r="E2" s="2" t="inlineStr">
        <is>
          <t>Row / Block Code</t>
        </is>
      </c>
      <c r="F2" s="2" t="inlineStr">
        <is>
          <t>Pick Crew Lead</t>
        </is>
      </c>
      <c r="G2" s="2" t="inlineStr">
        <is>
          <t>Bins Picked</t>
        </is>
      </c>
      <c r="H2" s="2" t="inlineStr">
        <is>
          <t>Average Bin Weight (kg)</t>
        </is>
      </c>
      <c r="I2" s="2" t="inlineStr">
        <is>
          <t>Total Gross Weight (kg)</t>
        </is>
      </c>
      <c r="J2" s="2" t="inlineStr">
        <is>
          <t>Sample Brix</t>
        </is>
      </c>
      <c r="K2" s="2" t="inlineStr">
        <is>
          <t>Pressed / Rejected Weight (kg)</t>
        </is>
      </c>
      <c r="L2" s="2" t="inlineStr">
        <is>
          <t>Net Yield (kg)</t>
        </is>
      </c>
      <c r="M2" s="2" t="inlineStr">
        <is>
          <t>Yield per Hectare (t/ha)</t>
        </is>
      </c>
      <c r="N2" s="2" t="inlineStr">
        <is>
          <t>Harvest Quality</t>
        </is>
      </c>
      <c r="O2" s="2" t="inlineStr">
        <is>
          <t>Notes</t>
        </is>
      </c>
    </row>
    <row r="3">
      <c r="A3" s="3" t="inlineStr">
        <is>
          <t>16/02/2026</t>
        </is>
      </c>
      <c r="B3" s="4" t="inlineStr">
        <is>
          <t>Block A</t>
        </is>
      </c>
      <c r="C3" s="4" t="inlineStr">
        <is>
          <t>Marlborough</t>
        </is>
      </c>
      <c r="D3" s="4" t="inlineStr">
        <is>
          <t>Sauvignon Blanc</t>
        </is>
      </c>
      <c r="E3" s="4" t="inlineStr">
        <is>
          <t>R12-A</t>
        </is>
      </c>
      <c r="F3" s="4" t="inlineStr">
        <is>
          <t>Aroha Ngata</t>
        </is>
      </c>
      <c r="G3" s="5" t="n">
        <v>42</v>
      </c>
      <c r="H3" s="6" t="n">
        <v>20.5</v>
      </c>
      <c r="I3" s="7">
        <f>G3*H3</f>
        <v/>
      </c>
      <c r="J3" s="5" t="n">
        <v>22.5</v>
      </c>
      <c r="K3" s="6" t="n">
        <v>12</v>
      </c>
      <c r="L3" s="7">
        <f>I3-K3</f>
        <v/>
      </c>
      <c r="M3" s="8">
        <f>IFERROR(L3/(VLOOKUP(B3,Instructions!$B$6:$C$10,2,FALSE)*1000),0)</f>
        <v/>
      </c>
      <c r="N3" s="9">
        <f>IF(J3&gt;=23,"Premium",IF(J3&gt;=21,"Standard","Below Target"))</f>
        <v/>
      </c>
      <c r="O3" s="4" t="inlineStr">
        <is>
          <t>Pressed same day</t>
        </is>
      </c>
    </row>
    <row r="4">
      <c r="A4" s="10" t="inlineStr">
        <is>
          <t>18/02/2026</t>
        </is>
      </c>
      <c r="B4" s="4" t="inlineStr">
        <is>
          <t>Block B</t>
        </is>
      </c>
      <c r="C4" s="4" t="inlineStr">
        <is>
          <t>Marlborough</t>
        </is>
      </c>
      <c r="D4" s="4" t="inlineStr">
        <is>
          <t>Pinot Noir</t>
        </is>
      </c>
      <c r="E4" s="4" t="inlineStr">
        <is>
          <t>R08-B</t>
        </is>
      </c>
      <c r="F4" s="4" t="inlineStr">
        <is>
          <t>Liam Fraser</t>
        </is>
      </c>
      <c r="G4" s="5" t="n">
        <v>30</v>
      </c>
      <c r="H4" s="6" t="n">
        <v>21.8</v>
      </c>
      <c r="I4" s="11">
        <f>G4*H4</f>
        <v/>
      </c>
      <c r="J4" s="5" t="n">
        <v>23.5</v>
      </c>
      <c r="K4" s="6" t="n">
        <v>22</v>
      </c>
      <c r="L4" s="11">
        <f>I4-K4</f>
        <v/>
      </c>
      <c r="M4" s="12">
        <f>IFERROR(L4/(VLOOKUP(B4,Instructions!$B$6:$C$10,2,FALSE)*1000),0)</f>
        <v/>
      </c>
      <c r="N4" s="13">
        <f>IF(J4&gt;=23,"Premium",IF(J4&gt;=21,"Standard","Below Target"))</f>
        <v/>
      </c>
      <c r="O4" s="4" t="inlineStr">
        <is>
          <t>Hand-picked, early morning</t>
        </is>
      </c>
    </row>
    <row r="5">
      <c r="A5" s="3" t="inlineStr">
        <is>
          <t>22/02/2026</t>
        </is>
      </c>
      <c r="B5" s="4" t="inlineStr">
        <is>
          <t>Block C</t>
        </is>
      </c>
      <c r="C5" s="4" t="inlineStr">
        <is>
          <t>Hawke's Bay</t>
        </is>
      </c>
      <c r="D5" s="4" t="inlineStr">
        <is>
          <t>Chardonnay</t>
        </is>
      </c>
      <c r="E5" s="4" t="inlineStr">
        <is>
          <t>R05-C</t>
        </is>
      </c>
      <c r="F5" s="4" t="inlineStr">
        <is>
          <t>Charlotte Reid</t>
        </is>
      </c>
      <c r="G5" s="5" t="n">
        <v>24</v>
      </c>
      <c r="H5" s="6" t="n">
        <v>19.6</v>
      </c>
      <c r="I5" s="7">
        <f>G5*H5</f>
        <v/>
      </c>
      <c r="J5" s="5" t="n">
        <v>21</v>
      </c>
      <c r="K5" s="6" t="n">
        <v>18</v>
      </c>
      <c r="L5" s="7">
        <f>I5-K5</f>
        <v/>
      </c>
      <c r="M5" s="8">
        <f>IFERROR(L5/(VLOOKUP(B5,Instructions!$B$6:$C$10,2,FALSE)*1000),0)</f>
        <v/>
      </c>
      <c r="N5" s="9">
        <f>IF(J5&gt;=23,"Premium",IF(J5&gt;=21,"Standard","Below Target"))</f>
        <v/>
      </c>
      <c r="O5" s="4" t="inlineStr">
        <is>
          <t>Machine harvested</t>
        </is>
      </c>
    </row>
    <row r="6">
      <c r="A6" s="10" t="inlineStr">
        <is>
          <t>25/02/2026</t>
        </is>
      </c>
      <c r="B6" s="4" t="inlineStr">
        <is>
          <t>Block D</t>
        </is>
      </c>
      <c r="C6" s="4" t="inlineStr">
        <is>
          <t>Central Otago</t>
        </is>
      </c>
      <c r="D6" s="4" t="inlineStr">
        <is>
          <t>Pinot Noir</t>
        </is>
      </c>
      <c r="E6" s="4" t="inlineStr">
        <is>
          <t>R14-D</t>
        </is>
      </c>
      <c r="F6" s="4" t="inlineStr">
        <is>
          <t>Manaia Wiremu</t>
        </is>
      </c>
      <c r="G6" s="5" t="n">
        <v>18</v>
      </c>
      <c r="H6" s="6" t="n">
        <v>22.4</v>
      </c>
      <c r="I6" s="11">
        <f>G6*H6</f>
        <v/>
      </c>
      <c r="J6" s="5" t="n">
        <v>20.5</v>
      </c>
      <c r="K6" s="6" t="n">
        <v>24</v>
      </c>
      <c r="L6" s="11">
        <f>I6-K6</f>
        <v/>
      </c>
      <c r="M6" s="12">
        <f>IFERROR(L6/(VLOOKUP(B6,Instructions!$B$6:$C$10,2,FALSE)*1000),0)</f>
        <v/>
      </c>
      <c r="N6" s="13">
        <f>IF(J6&gt;=23,"Premium",IF(J6&gt;=21,"Standard","Below Target"))</f>
        <v/>
      </c>
      <c r="O6" s="4" t="inlineStr">
        <is>
          <t>Slight rain delay</t>
        </is>
      </c>
    </row>
    <row r="7">
      <c r="A7" s="3" t="inlineStr">
        <is>
          <t>01/03/2026</t>
        </is>
      </c>
      <c r="B7" s="4" t="inlineStr">
        <is>
          <t>Block E</t>
        </is>
      </c>
      <c r="C7" s="4" t="inlineStr">
        <is>
          <t>Gisborne</t>
        </is>
      </c>
      <c r="D7" s="4" t="inlineStr">
        <is>
          <t>Chardonnay</t>
        </is>
      </c>
      <c r="E7" s="4" t="inlineStr">
        <is>
          <t>R03-E</t>
        </is>
      </c>
      <c r="F7" s="4" t="inlineStr">
        <is>
          <t>Sophie Callaghan</t>
        </is>
      </c>
      <c r="G7" s="5" t="n">
        <v>36</v>
      </c>
      <c r="H7" s="6" t="n">
        <v>20.1</v>
      </c>
      <c r="I7" s="7">
        <f>G7*H7</f>
        <v/>
      </c>
      <c r="J7" s="5" t="n">
        <v>23.8</v>
      </c>
      <c r="K7" s="6" t="n">
        <v>15</v>
      </c>
      <c r="L7" s="7">
        <f>I7-K7</f>
        <v/>
      </c>
      <c r="M7" s="8">
        <f>IFERROR(L7/(VLOOKUP(B7,Instructions!$B$6:$C$10,2,FALSE)*1000),0)</f>
        <v/>
      </c>
      <c r="N7" s="9">
        <f>IF(J7&gt;=23,"Premium",IF(J7&gt;=21,"Standard","Below Target"))</f>
        <v/>
      </c>
      <c r="O7" s="4" t="inlineStr">
        <is>
          <t>Good sugar levels</t>
        </is>
      </c>
    </row>
    <row r="8">
      <c r="A8" s="10" t="inlineStr">
        <is>
          <t>05/03/2026</t>
        </is>
      </c>
      <c r="B8" s="4" t="inlineStr">
        <is>
          <t>Block A</t>
        </is>
      </c>
      <c r="C8" s="4" t="inlineStr">
        <is>
          <t>Marlborough</t>
        </is>
      </c>
      <c r="D8" s="4" t="inlineStr">
        <is>
          <t>Sauvignon Blanc</t>
        </is>
      </c>
      <c r="E8" s="4" t="inlineStr">
        <is>
          <t>R12-A2</t>
        </is>
      </c>
      <c r="F8" s="4" t="inlineStr">
        <is>
          <t>Hemi Tane</t>
        </is>
      </c>
      <c r="G8" s="5" t="n">
        <v>48</v>
      </c>
      <c r="H8" s="6" t="n">
        <v>19.8</v>
      </c>
      <c r="I8" s="11">
        <f>G8*H8</f>
        <v/>
      </c>
      <c r="J8" s="5" t="n">
        <v>21.5</v>
      </c>
      <c r="K8" s="6" t="n">
        <v>30</v>
      </c>
      <c r="L8" s="11">
        <f>I8-K8</f>
        <v/>
      </c>
      <c r="M8" s="12">
        <f>IFERROR(L8/(VLOOKUP(B8,Instructions!$B$6:$C$10,2,FALSE)*1000),0)</f>
        <v/>
      </c>
      <c r="N8" s="13">
        <f>IF(J8&gt;=23,"Premium",IF(J8&gt;=21,"Standard","Below Target"))</f>
        <v/>
      </c>
      <c r="O8" s="4" t="inlineStr">
        <is>
          <t>Cool overnight pick</t>
        </is>
      </c>
    </row>
    <row r="9">
      <c r="A9" s="3" t="inlineStr">
        <is>
          <t>09/03/2026</t>
        </is>
      </c>
      <c r="B9" s="4" t="inlineStr">
        <is>
          <t>Block B</t>
        </is>
      </c>
      <c r="C9" s="4" t="inlineStr">
        <is>
          <t>Nelson</t>
        </is>
      </c>
      <c r="D9" s="4" t="inlineStr">
        <is>
          <t>Riesling</t>
        </is>
      </c>
      <c r="E9" s="4" t="inlineStr">
        <is>
          <t>R09-B</t>
        </is>
      </c>
      <c r="F9" s="4" t="inlineStr">
        <is>
          <t>Olivia Marsh</t>
        </is>
      </c>
      <c r="G9" s="5" t="n">
        <v>20</v>
      </c>
      <c r="H9" s="6" t="n">
        <v>18.9</v>
      </c>
      <c r="I9" s="7">
        <f>G9*H9</f>
        <v/>
      </c>
      <c r="J9" s="5" t="n">
        <v>19.2</v>
      </c>
      <c r="K9" s="6" t="n">
        <v>26</v>
      </c>
      <c r="L9" s="7">
        <f>I9-K9</f>
        <v/>
      </c>
      <c r="M9" s="8">
        <f>IFERROR(L9/(VLOOKUP(B9,Instructions!$B$6:$C$10,2,FALSE)*1000),0)</f>
        <v/>
      </c>
      <c r="N9" s="9">
        <f>IF(J9&gt;=23,"Premium",IF(J9&gt;=21,"Standard","Below Target"))</f>
        <v/>
      </c>
      <c r="O9" s="4" t="inlineStr">
        <is>
          <t>Below target sugar</t>
        </is>
      </c>
    </row>
    <row r="10">
      <c r="A10" s="10" t="inlineStr">
        <is>
          <t>14/03/2026</t>
        </is>
      </c>
      <c r="B10" s="4" t="inlineStr">
        <is>
          <t>Block C</t>
        </is>
      </c>
      <c r="C10" s="4" t="inlineStr">
        <is>
          <t>Hawke's Bay</t>
        </is>
      </c>
      <c r="D10" s="4" t="inlineStr">
        <is>
          <t>Syrah</t>
        </is>
      </c>
      <c r="E10" s="4" t="inlineStr">
        <is>
          <t>R06-C</t>
        </is>
      </c>
      <c r="F10" s="4" t="inlineStr">
        <is>
          <t>Tama Ropata</t>
        </is>
      </c>
      <c r="G10" s="5" t="n">
        <v>28</v>
      </c>
      <c r="H10" s="6" t="n">
        <v>21.2</v>
      </c>
      <c r="I10" s="11">
        <f>G10*H10</f>
        <v/>
      </c>
      <c r="J10" s="5" t="n">
        <v>22</v>
      </c>
      <c r="K10" s="6" t="n">
        <v>20</v>
      </c>
      <c r="L10" s="11">
        <f>I10-K10</f>
        <v/>
      </c>
      <c r="M10" s="12">
        <f>IFERROR(L10/(VLOOKUP(B10,Instructions!$B$6:$C$10,2,FALSE)*1000),0)</f>
        <v/>
      </c>
      <c r="N10" s="13">
        <f>IF(J10&gt;=23,"Premium",IF(J10&gt;=21,"Standard","Below Target"))</f>
        <v/>
      </c>
      <c r="O10" s="4" t="inlineStr">
        <is>
          <t>Even ripening</t>
        </is>
      </c>
    </row>
    <row r="11">
      <c r="A11" s="3" t="inlineStr">
        <is>
          <t>19/03/2026</t>
        </is>
      </c>
      <c r="B11" s="4" t="inlineStr">
        <is>
          <t>Block D</t>
        </is>
      </c>
      <c r="C11" s="4" t="inlineStr">
        <is>
          <t>Wairarapa</t>
        </is>
      </c>
      <c r="D11" s="4" t="inlineStr">
        <is>
          <t>Pinot Noir</t>
        </is>
      </c>
      <c r="E11" s="4" t="inlineStr">
        <is>
          <t>R15-D</t>
        </is>
      </c>
      <c r="F11" s="4" t="inlineStr">
        <is>
          <t>Emma Sutcliffe</t>
        </is>
      </c>
      <c r="G11" s="5" t="n">
        <v>15</v>
      </c>
      <c r="H11" s="6" t="n">
        <v>20.7</v>
      </c>
      <c r="I11" s="7">
        <f>G11*H11</f>
        <v/>
      </c>
      <c r="J11" s="5" t="n">
        <v>21.8</v>
      </c>
      <c r="K11" s="6" t="n">
        <v>27</v>
      </c>
      <c r="L11" s="7">
        <f>I11-K11</f>
        <v/>
      </c>
      <c r="M11" s="8">
        <f>IFERROR(L11/(VLOOKUP(B11,Instructions!$B$6:$C$10,2,FALSE)*1000),0)</f>
        <v/>
      </c>
      <c r="N11" s="9">
        <f>IF(J11&gt;=23,"Premium",IF(J11&gt;=21,"Standard","Below Target"))</f>
        <v/>
      </c>
      <c r="O11" s="4" t="inlineStr">
        <is>
          <t>Small parcel, hand sorted</t>
        </is>
      </c>
    </row>
    <row r="12">
      <c r="A12" s="10" t="inlineStr">
        <is>
          <t>02/04/2026</t>
        </is>
      </c>
      <c r="B12" s="4" t="inlineStr">
        <is>
          <t>Block E</t>
        </is>
      </c>
      <c r="C12" s="4" t="inlineStr">
        <is>
          <t>Central Otago</t>
        </is>
      </c>
      <c r="D12" s="4" t="inlineStr">
        <is>
          <t>Riesling</t>
        </is>
      </c>
      <c r="E12" s="4" t="inlineStr">
        <is>
          <t>R04-E</t>
        </is>
      </c>
      <c r="F12" s="4" t="inlineStr">
        <is>
          <t>Ngaire Pohatu</t>
        </is>
      </c>
      <c r="G12" s="5" t="n">
        <v>22</v>
      </c>
      <c r="H12" s="6" t="n">
        <v>19.4</v>
      </c>
      <c r="I12" s="11">
        <f>G12*H12</f>
        <v/>
      </c>
      <c r="J12" s="5" t="n">
        <v>18.5</v>
      </c>
      <c r="K12" s="6" t="n">
        <v>19</v>
      </c>
      <c r="L12" s="11">
        <f>I12-K12</f>
        <v/>
      </c>
      <c r="M12" s="12">
        <f>IFERROR(L12/(VLOOKUP(B12,Instructions!$B$6:$C$10,2,FALSE)*1000),0)</f>
        <v/>
      </c>
      <c r="N12" s="13">
        <f>IF(J12&gt;=23,"Premium",IF(J12&gt;=21,"Standard","Below Target"))</f>
        <v/>
      </c>
      <c r="O12" s="4" t="inlineStr">
        <is>
          <t>Late-season low Brix</t>
        </is>
      </c>
    </row>
    <row r="13">
      <c r="A13" s="14" t="n"/>
      <c r="B13" s="14" t="n"/>
      <c r="C13" s="14" t="n"/>
      <c r="D13" s="14" t="n"/>
      <c r="E13" s="14" t="n"/>
      <c r="F13" s="14" t="inlineStr">
        <is>
          <t>TOTALS / AVERAGE</t>
        </is>
      </c>
      <c r="G13" s="15">
        <f>SUM(G3:G12)</f>
        <v/>
      </c>
      <c r="H13" s="14" t="n"/>
      <c r="I13" s="15">
        <f>SUM(I3:I12)</f>
        <v/>
      </c>
      <c r="J13" s="15">
        <f>AVERAGE(J3:J12)</f>
        <v/>
      </c>
      <c r="K13" s="14" t="n"/>
      <c r="L13" s="15">
        <f>SUM(L3:L12)</f>
        <v/>
      </c>
      <c r="M13" s="14" t="n"/>
      <c r="N13" s="14" t="n"/>
      <c r="O13" s="14" t="n"/>
    </row>
  </sheetData>
  <mergeCells count="1">
    <mergeCell ref="A1:O1"/>
  </mergeCells>
  <conditionalFormatting sqref="J3:J12">
    <cfRule type="cellIs" priority="1" operator="lessThan" dxfId="0">
      <formula>21</formula>
    </cfRule>
  </conditionalFormatting>
  <conditionalFormatting sqref="N3:N12">
    <cfRule type="expression" priority="2" dxfId="0" stopIfTrue="0">
      <formula>N3="Below Target"</formula>
    </cfRule>
    <cfRule type="expression" priority="3" dxfId="1" stopIfTrue="0">
      <formula>N3="Premium"</formula>
    </cfRule>
  </conditionalFormatting>
  <dataValidations count="1">
    <dataValidation sqref="D3:D12" showErrorMessage="1" showInputMessage="1" allowBlank="1" type="list">
      <formula1>"Sauvignon Blanc,Pinot Noir,Chardonnay,Syrah,Riesling"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6" customWidth="1" min="4" max="4"/>
    <col width="12" customWidth="1" min="5" max="5"/>
    <col width="14" customWidth="1" min="6" max="6"/>
    <col width="14" customWidth="1" min="7" max="7"/>
    <col width="16" customWidth="1" min="8" max="8"/>
  </cols>
  <sheetData>
    <row r="1" ht="26" customHeight="1">
      <c r="A1" s="1" t="inlineStr">
        <is>
          <t>Harvest Summary Dashboard — 2026</t>
        </is>
      </c>
    </row>
    <row r="2"/>
    <row r="3">
      <c r="A3" s="16" t="inlineStr">
        <is>
          <t>Total Bins Picked</t>
        </is>
      </c>
      <c r="B3" s="34" t="n"/>
      <c r="D3" s="16" t="inlineStr">
        <is>
          <t>Total Gross Weight (kg)</t>
        </is>
      </c>
      <c r="E3" s="34" t="n"/>
      <c r="G3" s="16" t="inlineStr">
        <is>
          <t>Total Net Yield (kg)</t>
        </is>
      </c>
      <c r="H3" s="34" t="n"/>
    </row>
    <row r="4">
      <c r="A4" s="18">
        <f>SUM('Harvest Log'!G3:G12)</f>
        <v/>
      </c>
      <c r="B4" s="34" t="n"/>
      <c r="D4" s="19">
        <f>SUM('Harvest Log'!I3:I12)</f>
        <v/>
      </c>
      <c r="E4" s="34" t="n"/>
      <c r="G4" s="19">
        <f>SUM('Harvest Log'!L3:L12)</f>
        <v/>
      </c>
      <c r="H4" s="34" t="n"/>
    </row>
    <row r="5"/>
    <row r="6">
      <c r="A6" s="16" t="inlineStr">
        <is>
          <t>Average Brix</t>
        </is>
      </c>
      <c r="B6" s="34" t="n"/>
      <c r="D6" s="16" t="inlineStr">
        <is>
          <t>Premium Harvest Count</t>
        </is>
      </c>
      <c r="E6" s="34" t="n"/>
      <c r="G6" s="16" t="inlineStr">
        <is>
          <t>Below Target Count</t>
        </is>
      </c>
      <c r="H6" s="34" t="n"/>
    </row>
    <row r="7">
      <c r="A7" s="20">
        <f>AVERAGE('Harvest Log'!J3:J12)</f>
        <v/>
      </c>
      <c r="B7" s="34" t="n"/>
      <c r="D7" s="18">
        <f>COUNTIF('Harvest Log'!N3:N12,"Premium")</f>
        <v/>
      </c>
      <c r="E7" s="34" t="n"/>
      <c r="G7" s="18">
        <f>COUNTIF('Harvest Log'!N3:N12,"Below Target")</f>
        <v/>
      </c>
      <c r="H7" s="34" t="n"/>
    </row>
    <row r="8"/>
    <row r="9">
      <c r="A9" s="16" t="inlineStr">
        <is>
          <t>Premium Share %</t>
        </is>
      </c>
      <c r="B9" s="34" t="n"/>
      <c r="C9" s="17" t="n"/>
      <c r="D9" s="16" t="inlineStr">
        <is>
          <t>Yield Flag</t>
        </is>
      </c>
      <c r="E9" s="34" t="n"/>
    </row>
    <row r="10">
      <c r="A10" s="21">
        <f>IFERROR(D4/COUNTA('Harvest Log'!A3:A12),0)</f>
        <v/>
      </c>
      <c r="B10" s="34" t="n"/>
      <c r="C10" s="17" t="n"/>
      <c r="D10" s="22">
        <f>IF(D5&lt;21,"Review harvest timing","On track")</f>
        <v/>
      </c>
      <c r="E10" s="34" t="n"/>
    </row>
    <row r="11"/>
    <row r="12"/>
    <row r="13">
      <c r="A13" s="2" t="inlineStr">
        <is>
          <t>Block</t>
        </is>
      </c>
      <c r="B13" s="2" t="inlineStr">
        <is>
          <t>Net Yield (kg)</t>
        </is>
      </c>
      <c r="D13" s="2" t="inlineStr">
        <is>
          <t>Harvest Quality</t>
        </is>
      </c>
      <c r="E13" s="2" t="inlineStr">
        <is>
          <t>Count</t>
        </is>
      </c>
      <c r="G13" s="2" t="inlineStr">
        <is>
          <t>Harvest Date</t>
        </is>
      </c>
      <c r="H13" s="2" t="inlineStr">
        <is>
          <t>Net Yield (kg)</t>
        </is>
      </c>
    </row>
    <row r="14">
      <c r="A14" s="23" t="inlineStr">
        <is>
          <t>Block A</t>
        </is>
      </c>
      <c r="B14" s="24">
        <f>SUMIF('Harvest Log'!B3:B12,A14,'Harvest Log'!L3:L12)</f>
        <v/>
      </c>
      <c r="D14" s="23" t="inlineStr">
        <is>
          <t>Premium</t>
        </is>
      </c>
      <c r="E14" s="23">
        <f>COUNTIF('Harvest Log'!N3:N12,D14)</f>
        <v/>
      </c>
      <c r="G14" s="25">
        <f>'Harvest Log'!A3</f>
        <v/>
      </c>
      <c r="H14" s="24">
        <f>'Harvest Log'!L3</f>
        <v/>
      </c>
    </row>
    <row r="15">
      <c r="A15" s="26" t="inlineStr">
        <is>
          <t>Block B</t>
        </is>
      </c>
      <c r="B15" s="27">
        <f>SUMIF('Harvest Log'!B3:B12,A15,'Harvest Log'!L3:L12)</f>
        <v/>
      </c>
      <c r="D15" s="26" t="inlineStr">
        <is>
          <t>Standard</t>
        </is>
      </c>
      <c r="E15" s="26">
        <f>COUNTIF('Harvest Log'!N3:N12,D15)</f>
        <v/>
      </c>
      <c r="G15" s="28">
        <f>'Harvest Log'!A4</f>
        <v/>
      </c>
      <c r="H15" s="27">
        <f>'Harvest Log'!L4</f>
        <v/>
      </c>
    </row>
    <row r="16">
      <c r="A16" s="23" t="inlineStr">
        <is>
          <t>Block C</t>
        </is>
      </c>
      <c r="B16" s="24">
        <f>SUMIF('Harvest Log'!B3:B12,A16,'Harvest Log'!L3:L12)</f>
        <v/>
      </c>
      <c r="D16" s="23" t="inlineStr">
        <is>
          <t>Below Target</t>
        </is>
      </c>
      <c r="E16" s="23">
        <f>COUNTIF('Harvest Log'!N3:N12,D16)</f>
        <v/>
      </c>
      <c r="G16" s="25">
        <f>'Harvest Log'!A5</f>
        <v/>
      </c>
      <c r="H16" s="24">
        <f>'Harvest Log'!L5</f>
        <v/>
      </c>
    </row>
    <row r="17">
      <c r="A17" s="26" t="inlineStr">
        <is>
          <t>Block D</t>
        </is>
      </c>
      <c r="B17" s="27">
        <f>SUMIF('Harvest Log'!B3:B12,A17,'Harvest Log'!L3:L12)</f>
        <v/>
      </c>
      <c r="G17" s="28">
        <f>'Harvest Log'!A6</f>
        <v/>
      </c>
      <c r="H17" s="27">
        <f>'Harvest Log'!L6</f>
        <v/>
      </c>
    </row>
    <row r="18">
      <c r="A18" s="23" t="inlineStr">
        <is>
          <t>Block E</t>
        </is>
      </c>
      <c r="B18" s="24">
        <f>SUMIF('Harvest Log'!B3:B12,A18,'Harvest Log'!L3:L12)</f>
        <v/>
      </c>
      <c r="G18" s="25">
        <f>'Harvest Log'!A7</f>
        <v/>
      </c>
      <c r="H18" s="24">
        <f>'Harvest Log'!L7</f>
        <v/>
      </c>
    </row>
    <row r="19">
      <c r="G19" s="28">
        <f>'Harvest Log'!A8</f>
        <v/>
      </c>
      <c r="H19" s="27">
        <f>'Harvest Log'!L8</f>
        <v/>
      </c>
    </row>
    <row r="20">
      <c r="G20" s="25">
        <f>'Harvest Log'!A9</f>
        <v/>
      </c>
      <c r="H20" s="24">
        <f>'Harvest Log'!L9</f>
        <v/>
      </c>
    </row>
    <row r="21">
      <c r="G21" s="28">
        <f>'Harvest Log'!A10</f>
        <v/>
      </c>
      <c r="H21" s="27">
        <f>'Harvest Log'!L10</f>
        <v/>
      </c>
    </row>
    <row r="22">
      <c r="G22" s="25">
        <f>'Harvest Log'!A11</f>
        <v/>
      </c>
      <c r="H22" s="24">
        <f>'Harvest Log'!L11</f>
        <v/>
      </c>
    </row>
    <row r="23">
      <c r="G23" s="28">
        <f>'Harvest Log'!A12</f>
        <v/>
      </c>
      <c r="H23" s="27">
        <f>'Harvest Log'!L12</f>
        <v/>
      </c>
    </row>
  </sheetData>
  <mergeCells count="17">
    <mergeCell ref="A1:H1"/>
    <mergeCell ref="A3:B3"/>
    <mergeCell ref="A4:B4"/>
    <mergeCell ref="D3:E3"/>
    <mergeCell ref="D4:E4"/>
    <mergeCell ref="G3:H3"/>
    <mergeCell ref="G4:H4"/>
    <mergeCell ref="A6:B6"/>
    <mergeCell ref="A7:B7"/>
    <mergeCell ref="D6:E6"/>
    <mergeCell ref="D7:E7"/>
    <mergeCell ref="G6:H6"/>
    <mergeCell ref="G7:H7"/>
    <mergeCell ref="A9:B9"/>
    <mergeCell ref="A10:B10"/>
    <mergeCell ref="D9:E9"/>
    <mergeCell ref="D10:E1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4" customWidth="1" min="3" max="3"/>
    <col width="20" customWidth="1" min="4" max="4"/>
    <col width="20" customWidth="1" min="5" max="5"/>
  </cols>
  <sheetData>
    <row r="1" ht="26" customHeight="1">
      <c r="A1" s="1" t="inlineStr">
        <is>
          <t>Instructions &amp; Reference — Vineyard Harvest Yield Log</t>
        </is>
      </c>
    </row>
    <row r="2"/>
    <row r="3">
      <c r="A3" s="29" t="inlineStr">
        <is>
          <t>This workbook records each vineyard block's harvest results for the 2026 season.</t>
        </is>
      </c>
    </row>
    <row r="4">
      <c r="A4" s="29" t="inlineStr">
        <is>
          <t>1. Enter each pick on the 'Harvest Log' sheet — one row per block/date combination.</t>
        </is>
      </c>
    </row>
    <row r="5">
      <c r="A5" s="29" t="inlineStr">
        <is>
          <t>2. Enter Bins Picked, Average Bin Weight (kg), Sample Brix, and Pressed/Rejected Weight (kg) — these are the yellow input cells.</t>
        </is>
      </c>
    </row>
    <row r="6">
      <c r="A6" s="29" t="inlineStr">
        <is>
          <t>3. Total Gross Weight, Net Yield, Yield per Hectare, and Harvest Quality calculate automatically.</t>
        </is>
      </c>
    </row>
    <row r="7">
      <c r="A7" s="29" t="inlineStr">
        <is>
          <t>4. Yield per Hectare uses a VLOOKUP against the Block Area table below, matched by Vineyard/Block name.</t>
        </is>
      </c>
    </row>
    <row r="8">
      <c r="A8" s="29" t="inlineStr">
        <is>
          <t>5. Harvest Quality is graded: Brix &gt;= 23 is 'Premium', Brix 21-22.9 is 'Standard', below 21 is 'Below Target'.</t>
        </is>
      </c>
    </row>
    <row r="9">
      <c r="A9" s="29" t="inlineStr">
        <is>
          <t>6. Check the 'Summary Dashboard' sheet for KPI tiles and charts summarising the season's harvest.</t>
        </is>
      </c>
    </row>
    <row r="10">
      <c r="A10" s="29" t="inlineStr">
        <is>
          <t>7. Rows flagged red on the Harvest Log indicate low Brix or Below Target quality — review picking timing for these blocks.</t>
        </is>
      </c>
    </row>
    <row r="11">
      <c r="A11" s="29" t="inlineStr"/>
    </row>
    <row r="12">
      <c r="A12" s="30" t="inlineStr">
        <is>
          <t>Definitions:</t>
        </is>
      </c>
    </row>
    <row r="13">
      <c r="A13" s="29" t="inlineStr">
        <is>
          <t>Brix — a measure of sugar (soluble solids) content in grape juice, used to judge ripeness at harvest.</t>
        </is>
      </c>
    </row>
    <row r="14">
      <c r="A14" s="29" t="inlineStr">
        <is>
          <t>Bin — a standard picking container; bins picked multiplied by average bin weight gives gross weight.</t>
        </is>
      </c>
    </row>
    <row r="15">
      <c r="A15" s="29" t="inlineStr">
        <is>
          <t>Net Yield — gross harvested weight less any weight pressed off or rejected due to quality issues.</t>
        </is>
      </c>
    </row>
    <row r="16">
      <c r="A16" s="29" t="inlineStr">
        <is>
          <t>Yield per Hectare (t/ha) — net yield in tonnes divided by the planted area of the block, a key vineyard KPI.</t>
        </is>
      </c>
    </row>
    <row r="17">
      <c r="A17" s="29" t="inlineStr"/>
    </row>
    <row r="18">
      <c r="A18" s="30" t="inlineStr">
        <is>
          <t>NZ context: If harvest costs, contractor invoices, or grape sales are added to this log, remember NZ GST</t>
        </is>
      </c>
    </row>
    <row r="19">
      <c r="A19" s="29" t="inlineStr">
        <is>
          <t>is charged at 15% on relevant supplies. Ensure any invoicing references a valid IRD/GST number and NZBN</t>
        </is>
      </c>
    </row>
    <row r="20">
      <c r="A20" s="29" t="inlineStr">
        <is>
          <t>where applicable, per Inland Revenue requirements for New Zealand businesses.</t>
        </is>
      </c>
    </row>
    <row r="21"/>
    <row r="22">
      <c r="A22" s="31" t="inlineStr">
        <is>
          <t>Block Area Lookup Table</t>
        </is>
      </c>
    </row>
    <row r="23"/>
    <row r="24">
      <c r="B24" s="2" t="inlineStr">
        <is>
          <t>Vineyard / Block</t>
        </is>
      </c>
      <c r="C24" s="2" t="inlineStr">
        <is>
          <t>Area (ha)</t>
        </is>
      </c>
    </row>
    <row r="25">
      <c r="B25" s="23" t="inlineStr">
        <is>
          <t>Block A</t>
        </is>
      </c>
      <c r="C25" s="32" t="n">
        <v>2.4</v>
      </c>
    </row>
    <row r="26">
      <c r="B26" s="26" t="inlineStr">
        <is>
          <t>Block B</t>
        </is>
      </c>
      <c r="C26" s="33" t="n">
        <v>3.1</v>
      </c>
    </row>
    <row r="27">
      <c r="B27" s="23" t="inlineStr">
        <is>
          <t>Block C</t>
        </is>
      </c>
      <c r="C27" s="32" t="n">
        <v>1.8</v>
      </c>
    </row>
    <row r="28">
      <c r="B28" s="26" t="inlineStr">
        <is>
          <t>Block D</t>
        </is>
      </c>
      <c r="C28" s="33" t="n">
        <v>4</v>
      </c>
    </row>
    <row r="29">
      <c r="B29" s="23" t="inlineStr">
        <is>
          <t>Block E</t>
        </is>
      </c>
      <c r="C29" s="32" t="n">
        <v>2.9</v>
      </c>
    </row>
  </sheetData>
  <mergeCells count="19">
    <mergeCell ref="A1:E1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2026-07-13T04:57:25Z</dcterms:created>
  <dcterms:modified xmlns:dcterms="http://purl.org/dc/terms/" xmlns:xsi="http://www.w3.org/2001/XMLSchema-instance" xsi:type="dcterms:W3CDTF">2026-07-13T04:57:25Z</dcterms:modified>
</cp:coreProperties>
</file>